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D92DC9EA-2662-B149-B2B4-8DD8466967B3}" xr6:coauthVersionLast="47" xr6:coauthVersionMax="47" xr10:uidLastSave="{00000000-0000-0000-0000-000000000000}"/>
  <bookViews>
    <workbookView xWindow="0" yWindow="500" windowWidth="28800" windowHeight="16860" activeTab="1" xr2:uid="{00000000-000D-0000-FFFF-FFFF00000000}"/>
  </bookViews>
  <sheets>
    <sheet name="main" sheetId="1" r:id="rId1"/>
    <sheet name="model" sheetId="2" r:id="rId2"/>
  </sheets>
  <definedNames>
    <definedName name="autogr">model!$W$3</definedName>
    <definedName name="creditgr">model!$W$4</definedName>
    <definedName name="delivgr">model!$W$2</definedName>
    <definedName name="energygr">model!$W$6</definedName>
    <definedName name="gm">model!$W$8</definedName>
    <definedName name="leasegr">model!$W$5</definedName>
    <definedName name="om">model!$W$9</definedName>
    <definedName name="servicegr">model!$W$7</definedName>
    <definedName name="tax">model!$W$10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2" l="1"/>
  <c r="O49" i="2"/>
  <c r="N49" i="2"/>
  <c r="M49" i="2"/>
  <c r="L49" i="2"/>
  <c r="K49" i="2"/>
  <c r="J49" i="2"/>
  <c r="I49" i="2"/>
  <c r="C49" i="2"/>
  <c r="D49" i="2"/>
  <c r="B49" i="2"/>
  <c r="O47" i="2"/>
  <c r="N47" i="2"/>
  <c r="M47" i="2"/>
  <c r="L47" i="2"/>
  <c r="K47" i="2"/>
  <c r="J47" i="2"/>
  <c r="I47" i="2"/>
  <c r="C47" i="2"/>
  <c r="D47" i="2"/>
  <c r="B47" i="2"/>
  <c r="J46" i="2"/>
  <c r="K46" i="2"/>
  <c r="P17" i="2"/>
  <c r="I48" i="2"/>
  <c r="L48" i="2"/>
  <c r="I22" i="2"/>
  <c r="I24" i="2" s="1"/>
  <c r="I26" i="2" s="1"/>
  <c r="I46" i="2" s="1"/>
  <c r="J22" i="2"/>
  <c r="J24" i="2" s="1"/>
  <c r="J26" i="2" s="1"/>
  <c r="N22" i="2"/>
  <c r="N24" i="2" s="1"/>
  <c r="N26" i="2" s="1"/>
  <c r="N46" i="2" s="1"/>
  <c r="D42" i="2"/>
  <c r="J42" i="2"/>
  <c r="K42" i="2"/>
  <c r="L42" i="2"/>
  <c r="M42" i="2"/>
  <c r="N42" i="2"/>
  <c r="C42" i="2"/>
  <c r="D41" i="2"/>
  <c r="J41" i="2"/>
  <c r="K41" i="2"/>
  <c r="L41" i="2"/>
  <c r="M41" i="2"/>
  <c r="N41" i="2"/>
  <c r="C41" i="2"/>
  <c r="D40" i="2"/>
  <c r="J40" i="2"/>
  <c r="K40" i="2"/>
  <c r="L40" i="2"/>
  <c r="M40" i="2"/>
  <c r="N40" i="2"/>
  <c r="C40" i="2"/>
  <c r="D39" i="2"/>
  <c r="M39" i="2"/>
  <c r="N39" i="2"/>
  <c r="C39" i="2"/>
  <c r="D38" i="2"/>
  <c r="C38" i="2"/>
  <c r="K38" i="2"/>
  <c r="L38" i="2"/>
  <c r="M38" i="2"/>
  <c r="N38" i="2"/>
  <c r="J38" i="2"/>
  <c r="F8" i="2"/>
  <c r="O8" i="2" s="1"/>
  <c r="F10" i="2"/>
  <c r="O10" i="2" s="1"/>
  <c r="F11" i="2"/>
  <c r="O11" i="2" s="1"/>
  <c r="F13" i="2"/>
  <c r="O13" i="2" s="1"/>
  <c r="F15" i="2"/>
  <c r="O15" i="2" s="1"/>
  <c r="F7" i="2"/>
  <c r="O7" i="2" s="1"/>
  <c r="M12" i="2"/>
  <c r="M48" i="2" s="1"/>
  <c r="N12" i="2"/>
  <c r="N48" i="2" s="1"/>
  <c r="K12" i="2"/>
  <c r="K48" i="2" s="1"/>
  <c r="J12" i="2"/>
  <c r="J36" i="2" s="1"/>
  <c r="N9" i="2"/>
  <c r="M9" i="2"/>
  <c r="L9" i="2"/>
  <c r="K9" i="2"/>
  <c r="J9" i="2"/>
  <c r="B12" i="2"/>
  <c r="B48" i="2" s="1"/>
  <c r="B9" i="2"/>
  <c r="C9" i="2"/>
  <c r="C12" i="2"/>
  <c r="C48" i="2" s="1"/>
  <c r="D12" i="2"/>
  <c r="D48" i="2" s="1"/>
  <c r="D9" i="2"/>
  <c r="P5" i="2"/>
  <c r="Q5" i="2" s="1"/>
  <c r="R5" i="2" s="1"/>
  <c r="S5" i="2" s="1"/>
  <c r="T5" i="2" s="1"/>
  <c r="P6" i="2"/>
  <c r="Q6" i="2" s="1"/>
  <c r="R6" i="2" s="1"/>
  <c r="S6" i="2" s="1"/>
  <c r="T6" i="2" s="1"/>
  <c r="K22" i="2"/>
  <c r="K24" i="2" s="1"/>
  <c r="K26" i="2" s="1"/>
  <c r="L22" i="2"/>
  <c r="L24" i="2" s="1"/>
  <c r="L26" i="2" s="1"/>
  <c r="L46" i="2" s="1"/>
  <c r="M22" i="2"/>
  <c r="M24" i="2" s="1"/>
  <c r="M26" i="2" s="1"/>
  <c r="M46" i="2" s="1"/>
  <c r="I27" i="2"/>
  <c r="J27" i="2"/>
  <c r="K27" i="2"/>
  <c r="L27" i="2"/>
  <c r="M27" i="2"/>
  <c r="N27" i="2"/>
  <c r="N29" i="2"/>
  <c r="I33" i="2"/>
  <c r="I34" i="2" s="1"/>
  <c r="J33" i="2"/>
  <c r="J34" i="2" s="1"/>
  <c r="K33" i="2"/>
  <c r="K34" i="2" s="1"/>
  <c r="L34" i="2"/>
  <c r="M34" i="2"/>
  <c r="N34" i="2"/>
  <c r="F18" i="2"/>
  <c r="O18" i="2" s="1"/>
  <c r="O39" i="2" s="1"/>
  <c r="F19" i="2"/>
  <c r="O19" i="2" s="1"/>
  <c r="O40" i="2" s="1"/>
  <c r="F20" i="2"/>
  <c r="O20" i="2" s="1"/>
  <c r="O41" i="2" s="1"/>
  <c r="F21" i="2"/>
  <c r="O21" i="2" s="1"/>
  <c r="O42" i="2" s="1"/>
  <c r="F23" i="2"/>
  <c r="O23" i="2" s="1"/>
  <c r="F25" i="2"/>
  <c r="O25" i="2" s="1"/>
  <c r="F29" i="2"/>
  <c r="O29" i="2" s="1"/>
  <c r="F32" i="2"/>
  <c r="O32" i="2" s="1"/>
  <c r="F17" i="2"/>
  <c r="O17" i="2" s="1"/>
  <c r="O38" i="2" s="1"/>
  <c r="B27" i="2"/>
  <c r="C27" i="2"/>
  <c r="B22" i="2"/>
  <c r="B24" i="2" s="1"/>
  <c r="B26" i="2" s="1"/>
  <c r="B46" i="2" s="1"/>
  <c r="C22" i="2"/>
  <c r="C24" i="2" s="1"/>
  <c r="C26" i="2" s="1"/>
  <c r="C46" i="2" s="1"/>
  <c r="B33" i="2"/>
  <c r="B34" i="2" s="1"/>
  <c r="C34" i="2"/>
  <c r="D33" i="2"/>
  <c r="D34" i="2" s="1"/>
  <c r="D27" i="2"/>
  <c r="D22" i="2"/>
  <c r="D24" i="2" s="1"/>
  <c r="D26" i="2" s="1"/>
  <c r="D46" i="2" s="1"/>
  <c r="C7" i="1"/>
  <c r="C6" i="1"/>
  <c r="C5" i="1"/>
  <c r="C9" i="1" s="1"/>
  <c r="J2" i="2" s="1"/>
  <c r="C4" i="1"/>
  <c r="N2" i="2"/>
  <c r="L2" i="2"/>
  <c r="P38" i="2" l="1"/>
  <c r="Q17" i="2"/>
  <c r="P18" i="2"/>
  <c r="P19" i="2"/>
  <c r="P20" i="2"/>
  <c r="P21" i="2"/>
  <c r="J48" i="2"/>
  <c r="D36" i="2"/>
  <c r="L43" i="2"/>
  <c r="N43" i="2"/>
  <c r="L45" i="2"/>
  <c r="J43" i="2"/>
  <c r="I45" i="2"/>
  <c r="C36" i="2"/>
  <c r="M36" i="2"/>
  <c r="D43" i="2"/>
  <c r="F9" i="2"/>
  <c r="O9" i="2" s="1"/>
  <c r="L36" i="2"/>
  <c r="K45" i="2"/>
  <c r="F12" i="2"/>
  <c r="K36" i="2"/>
  <c r="J45" i="2"/>
  <c r="B45" i="2"/>
  <c r="D45" i="2"/>
  <c r="N45" i="2"/>
  <c r="C45" i="2"/>
  <c r="N36" i="2"/>
  <c r="M45" i="2"/>
  <c r="C43" i="2"/>
  <c r="M43" i="2"/>
  <c r="K43" i="2"/>
  <c r="J28" i="2"/>
  <c r="J30" i="2" s="1"/>
  <c r="M28" i="2"/>
  <c r="M30" i="2" s="1"/>
  <c r="C28" i="2"/>
  <c r="C30" i="2" s="1"/>
  <c r="L28" i="2"/>
  <c r="L30" i="2" s="1"/>
  <c r="K28" i="2"/>
  <c r="K30" i="2" s="1"/>
  <c r="F27" i="2"/>
  <c r="O27" i="2" s="1"/>
  <c r="N28" i="2"/>
  <c r="N30" i="2" s="1"/>
  <c r="I28" i="2"/>
  <c r="I30" i="2" s="1"/>
  <c r="F26" i="2"/>
  <c r="O26" i="2" s="1"/>
  <c r="F34" i="2"/>
  <c r="O34" i="2" s="1"/>
  <c r="F33" i="2"/>
  <c r="O33" i="2" s="1"/>
  <c r="F24" i="2"/>
  <c r="F22" i="2"/>
  <c r="O22" i="2" s="1"/>
  <c r="O43" i="2" s="1"/>
  <c r="B28" i="2"/>
  <c r="D28" i="2"/>
  <c r="D30" i="2" s="1"/>
  <c r="P41" i="2" l="1"/>
  <c r="Q20" i="2"/>
  <c r="P42" i="2"/>
  <c r="Q21" i="2"/>
  <c r="P39" i="2"/>
  <c r="Q18" i="2"/>
  <c r="O46" i="2"/>
  <c r="P22" i="2"/>
  <c r="P40" i="2"/>
  <c r="Q19" i="2"/>
  <c r="R17" i="2"/>
  <c r="Q38" i="2"/>
  <c r="P27" i="2"/>
  <c r="O12" i="2"/>
  <c r="O24" i="2"/>
  <c r="O45" i="2" s="1"/>
  <c r="F45" i="2"/>
  <c r="B30" i="2"/>
  <c r="F30" i="2" s="1"/>
  <c r="O30" i="2" s="1"/>
  <c r="F28" i="2"/>
  <c r="O28" i="2" s="1"/>
  <c r="R18" i="2" l="1"/>
  <c r="Q39" i="2"/>
  <c r="Q27" i="2"/>
  <c r="S17" i="2"/>
  <c r="R38" i="2"/>
  <c r="R19" i="2"/>
  <c r="Q40" i="2"/>
  <c r="R21" i="2"/>
  <c r="Q42" i="2"/>
  <c r="R20" i="2"/>
  <c r="Q41" i="2"/>
  <c r="Q22" i="2"/>
  <c r="P26" i="2"/>
  <c r="P24" i="2"/>
  <c r="P12" i="2"/>
  <c r="O48" i="2"/>
  <c r="O36" i="2"/>
  <c r="P28" i="2" l="1"/>
  <c r="P46" i="2"/>
  <c r="S19" i="2"/>
  <c r="R40" i="2"/>
  <c r="R22" i="2"/>
  <c r="P45" i="2"/>
  <c r="P25" i="2"/>
  <c r="Q24" i="2"/>
  <c r="Q23" i="2" s="1"/>
  <c r="Q26" i="2"/>
  <c r="S20" i="2"/>
  <c r="R41" i="2"/>
  <c r="S18" i="2"/>
  <c r="R39" i="2"/>
  <c r="T17" i="2"/>
  <c r="S38" i="2"/>
  <c r="S22" i="2"/>
  <c r="S27" i="2"/>
  <c r="Q12" i="2"/>
  <c r="P36" i="2"/>
  <c r="S21" i="2"/>
  <c r="R42" i="2"/>
  <c r="P23" i="2"/>
  <c r="R27" i="2"/>
  <c r="Q28" i="2" l="1"/>
  <c r="Q46" i="2"/>
  <c r="P29" i="2"/>
  <c r="S26" i="2"/>
  <c r="S24" i="2"/>
  <c r="S23" i="2" s="1"/>
  <c r="T38" i="2"/>
  <c r="T18" i="2"/>
  <c r="T39" i="2" s="1"/>
  <c r="S39" i="2"/>
  <c r="R26" i="2"/>
  <c r="R24" i="2"/>
  <c r="R23" i="2" s="1"/>
  <c r="T27" i="2"/>
  <c r="T21" i="2"/>
  <c r="T42" i="2" s="1"/>
  <c r="S42" i="2"/>
  <c r="Q25" i="2"/>
  <c r="Q45" i="2"/>
  <c r="R12" i="2"/>
  <c r="Q36" i="2"/>
  <c r="T20" i="2"/>
  <c r="T41" i="2" s="1"/>
  <c r="S41" i="2"/>
  <c r="T19" i="2"/>
  <c r="T40" i="2" s="1"/>
  <c r="S40" i="2"/>
  <c r="S28" i="2" l="1"/>
  <c r="S46" i="2"/>
  <c r="P47" i="2"/>
  <c r="R28" i="2"/>
  <c r="R46" i="2"/>
  <c r="P30" i="2"/>
  <c r="Q29" i="2"/>
  <c r="Q47" i="2" s="1"/>
  <c r="S12" i="2"/>
  <c r="R36" i="2"/>
  <c r="S25" i="2"/>
  <c r="S45" i="2"/>
  <c r="T22" i="2"/>
  <c r="R25" i="2"/>
  <c r="R45" i="2"/>
  <c r="R29" i="2" l="1"/>
  <c r="R47" i="2" s="1"/>
  <c r="Q30" i="2"/>
  <c r="S29" i="2"/>
  <c r="S47" i="2" s="1"/>
  <c r="T26" i="2"/>
  <c r="T24" i="2"/>
  <c r="T23" i="2" s="1"/>
  <c r="T12" i="2"/>
  <c r="T36" i="2" s="1"/>
  <c r="S36" i="2"/>
  <c r="S30" i="2" l="1"/>
  <c r="R30" i="2"/>
  <c r="T28" i="2"/>
  <c r="T46" i="2"/>
  <c r="T45" i="2"/>
  <c r="T25" i="2"/>
  <c r="T29" i="2" l="1"/>
  <c r="T47" i="2" l="1"/>
  <c r="F2" i="2"/>
  <c r="T30" i="2"/>
  <c r="G2" i="2" s="1"/>
  <c r="H2" i="2" s="1"/>
  <c r="I2" i="2" l="1"/>
  <c r="K2" i="2" s="1"/>
  <c r="M2" i="2" s="1"/>
  <c r="O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Rishi Raja </author>
  </authors>
  <commentList>
    <comment ref="A21" authorId="0" shapeId="0" xr:uid="{A4F7D30F-70DD-364C-BF63-873B73849B02}">
      <text>
        <r>
          <rPr>
            <sz val="10"/>
            <color rgb="FF000000"/>
            <rFont val="Tahoma"/>
            <family val="2"/>
          </rPr>
          <t xml:space="preserve">used vehicles, non warranty services, body shop and parts, supercharging, insurance, retail merchanidise </t>
        </r>
      </text>
    </comment>
  </commentList>
</comments>
</file>

<file path=xl/sharedStrings.xml><?xml version="1.0" encoding="utf-8"?>
<sst xmlns="http://schemas.openxmlformats.org/spreadsheetml/2006/main" count="78" uniqueCount="74">
  <si>
    <t>price</t>
  </si>
  <si>
    <t>shares</t>
  </si>
  <si>
    <t>mc</t>
  </si>
  <si>
    <t>cash</t>
  </si>
  <si>
    <t>debt</t>
  </si>
  <si>
    <t>ev</t>
  </si>
  <si>
    <t>net cash</t>
  </si>
  <si>
    <t>wacc</t>
  </si>
  <si>
    <t>tgr</t>
  </si>
  <si>
    <t>npv of fcf</t>
  </si>
  <si>
    <t>tv</t>
  </si>
  <si>
    <t>pv of tv</t>
  </si>
  <si>
    <t>eq val</t>
  </si>
  <si>
    <t>implied $</t>
  </si>
  <si>
    <t>current $</t>
  </si>
  <si>
    <t>upside</t>
  </si>
  <si>
    <t>net sales</t>
  </si>
  <si>
    <t>cogs</t>
  </si>
  <si>
    <t>gross profit</t>
  </si>
  <si>
    <t>opex</t>
  </si>
  <si>
    <t>opinc</t>
  </si>
  <si>
    <t>int</t>
  </si>
  <si>
    <t>pretax inc</t>
  </si>
  <si>
    <t>tax</t>
  </si>
  <si>
    <t>net inc</t>
  </si>
  <si>
    <t>q1 2024</t>
  </si>
  <si>
    <t>q2 2024</t>
  </si>
  <si>
    <t>q3 2024</t>
  </si>
  <si>
    <t>q4 2024</t>
  </si>
  <si>
    <t>cffo</t>
  </si>
  <si>
    <t>capex</t>
  </si>
  <si>
    <t>fcf</t>
  </si>
  <si>
    <t>auto sales</t>
  </si>
  <si>
    <t>auto reg credits</t>
  </si>
  <si>
    <t>auto leasing</t>
  </si>
  <si>
    <t>energy gen+storage</t>
  </si>
  <si>
    <t>services</t>
  </si>
  <si>
    <t xml:space="preserve">avg </t>
  </si>
  <si>
    <t>model 3/y prod</t>
  </si>
  <si>
    <t>other model prod</t>
  </si>
  <si>
    <t>auto sales gr</t>
  </si>
  <si>
    <t xml:space="preserve">total production </t>
  </si>
  <si>
    <t>other model deliv</t>
  </si>
  <si>
    <t>model 3/y deliv</t>
  </si>
  <si>
    <t xml:space="preserve">total deliveries </t>
  </si>
  <si>
    <t xml:space="preserve">leased vehicles </t>
  </si>
  <si>
    <t xml:space="preserve">storage deployed (GWh) </t>
  </si>
  <si>
    <t>model s</t>
  </si>
  <si>
    <t>model x</t>
  </si>
  <si>
    <t>model y</t>
  </si>
  <si>
    <t>model 3</t>
  </si>
  <si>
    <t>cybertruck</t>
  </si>
  <si>
    <t>telsa semi</t>
  </si>
  <si>
    <t>roadster</t>
  </si>
  <si>
    <t>solar deployed MW</t>
  </si>
  <si>
    <t>net sales gr</t>
  </si>
  <si>
    <t xml:space="preserve">gross margin </t>
  </si>
  <si>
    <t>deliveries gr</t>
  </si>
  <si>
    <t>credits gr</t>
  </si>
  <si>
    <t>leasing growth</t>
  </si>
  <si>
    <t>energy gr</t>
  </si>
  <si>
    <t>services gr</t>
  </si>
  <si>
    <t>delivgr</t>
  </si>
  <si>
    <t>$ / vehicle</t>
  </si>
  <si>
    <t>autogr</t>
  </si>
  <si>
    <t>creditgr</t>
  </si>
  <si>
    <t>leasegr</t>
  </si>
  <si>
    <t>energygr</t>
  </si>
  <si>
    <t>servicegr</t>
  </si>
  <si>
    <t>gm</t>
  </si>
  <si>
    <t>operating margin</t>
  </si>
  <si>
    <t xml:space="preserve">om </t>
  </si>
  <si>
    <t>tax % of pt inc</t>
  </si>
  <si>
    <t>ni/cffo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</si>
</sst>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3" fontId="0" fillId="2" borderId="0" xfId="0" applyNumberFormat="1" applyFill="1"/>
    <xf numFmtId="3" fontId="0" fillId="7" borderId="0" xfId="0" applyNumberFormat="1" applyFill="1"/>
    <xf numFmtId="3" fontId="2" fillId="8" borderId="0" xfId="0" applyNumberFormat="1" applyFont="1" applyFill="1"/>
    <xf numFmtId="3" fontId="2" fillId="9" borderId="0" xfId="0" applyNumberFormat="1" applyFont="1" applyFill="1"/>
    <xf numFmtId="3" fontId="0" fillId="10" borderId="0" xfId="0" applyNumberFormat="1" applyFill="1"/>
    <xf numFmtId="0" fontId="0" fillId="0" borderId="1" xfId="0" applyBorder="1"/>
    <xf numFmtId="9" fontId="0" fillId="2" borderId="2" xfId="0" applyNumberFormat="1" applyFill="1" applyBorder="1"/>
    <xf numFmtId="0" fontId="0" fillId="0" borderId="3" xfId="0" applyBorder="1"/>
    <xf numFmtId="9" fontId="0" fillId="3" borderId="4" xfId="0" applyNumberFormat="1" applyFill="1" applyBorder="1"/>
    <xf numFmtId="9" fontId="0" fillId="4" borderId="4" xfId="0" applyNumberFormat="1" applyFill="1" applyBorder="1"/>
    <xf numFmtId="9" fontId="0" fillId="5" borderId="4" xfId="0" applyNumberFormat="1" applyFill="1" applyBorder="1"/>
    <xf numFmtId="9" fontId="0" fillId="6" borderId="4" xfId="0" applyNumberFormat="1" applyFill="1" applyBorder="1"/>
    <xf numFmtId="9" fontId="0" fillId="7" borderId="4" xfId="0" applyNumberFormat="1" applyFill="1" applyBorder="1"/>
    <xf numFmtId="9" fontId="0" fillId="8" borderId="4" xfId="0" applyNumberFormat="1" applyFill="1" applyBorder="1"/>
    <xf numFmtId="9" fontId="0" fillId="9" borderId="4" xfId="0" applyNumberFormat="1" applyFill="1" applyBorder="1"/>
    <xf numFmtId="0" fontId="0" fillId="0" borderId="5" xfId="0" applyBorder="1"/>
    <xf numFmtId="9" fontId="0" fillId="10" borderId="6" xfId="0" applyNumberForma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zoomScale="170" zoomScaleNormal="170" workbookViewId="0">
      <selection activeCell="I9" sqref="I9"/>
    </sheetView>
  </sheetViews>
  <sheetFormatPr baseColWidth="10" defaultColWidth="8.83203125" defaultRowHeight="15" x14ac:dyDescent="0.2"/>
  <sheetData>
    <row r="2" spans="2:9" x14ac:dyDescent="0.2">
      <c r="B2" t="s">
        <v>0</v>
      </c>
      <c r="C2">
        <v>267.08999999999997</v>
      </c>
      <c r="I2" t="s">
        <v>47</v>
      </c>
    </row>
    <row r="3" spans="2:9" x14ac:dyDescent="0.2">
      <c r="B3" t="s">
        <v>1</v>
      </c>
      <c r="C3" s="1">
        <v>3210.059659</v>
      </c>
      <c r="I3" t="s">
        <v>48</v>
      </c>
    </row>
    <row r="4" spans="2:9" x14ac:dyDescent="0.2">
      <c r="B4" t="s">
        <v>2</v>
      </c>
      <c r="C4" s="1">
        <f>C2*C3</f>
        <v>857374.83432230994</v>
      </c>
      <c r="I4" t="s">
        <v>49</v>
      </c>
    </row>
    <row r="5" spans="2:9" x14ac:dyDescent="0.2">
      <c r="B5" t="s">
        <v>3</v>
      </c>
      <c r="C5" s="1">
        <f>18111+15537</f>
        <v>33648</v>
      </c>
      <c r="I5" t="s">
        <v>50</v>
      </c>
    </row>
    <row r="6" spans="2:9" x14ac:dyDescent="0.2">
      <c r="B6" t="s">
        <v>4</v>
      </c>
      <c r="C6" s="1">
        <f>2291+5405</f>
        <v>7696</v>
      </c>
      <c r="I6" t="s">
        <v>51</v>
      </c>
    </row>
    <row r="7" spans="2:9" x14ac:dyDescent="0.2">
      <c r="B7" t="s">
        <v>5</v>
      </c>
      <c r="C7" s="1">
        <f>C4-C5+C6</f>
        <v>831422.83432230994</v>
      </c>
      <c r="I7" t="s">
        <v>52</v>
      </c>
    </row>
    <row r="8" spans="2:9" x14ac:dyDescent="0.2">
      <c r="C8" s="1"/>
      <c r="I8" t="s">
        <v>53</v>
      </c>
    </row>
    <row r="9" spans="2:9" x14ac:dyDescent="0.2">
      <c r="B9" t="s">
        <v>6</v>
      </c>
      <c r="C9" s="1">
        <f>C5-C6</f>
        <v>25952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abSelected="1" topLeftCell="A2" zoomScale="89" zoomScaleNormal="170" workbookViewId="0">
      <pane xSplit="1" topLeftCell="B1" activePane="topRight" state="frozen"/>
      <selection pane="topRight" activeCell="O50" sqref="O50"/>
    </sheetView>
  </sheetViews>
  <sheetFormatPr baseColWidth="10" defaultColWidth="8.83203125" defaultRowHeight="15" x14ac:dyDescent="0.2"/>
  <cols>
    <col min="1" max="1" width="19.83203125" customWidth="1"/>
    <col min="2" max="4" width="9" bestFit="1" customWidth="1"/>
    <col min="9" max="13" width="9" bestFit="1" customWidth="1"/>
    <col min="14" max="14" width="9.1640625" bestFit="1" customWidth="1"/>
    <col min="15" max="15" width="9" bestFit="1" customWidth="1"/>
    <col min="16" max="20" width="9.1640625" bestFit="1" customWidth="1"/>
  </cols>
  <sheetData>
    <row r="1" spans="1:23" ht="16" thickBot="1" x14ac:dyDescent="0.25"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12</v>
      </c>
      <c r="L1" t="s">
        <v>1</v>
      </c>
      <c r="M1" t="s">
        <v>13</v>
      </c>
      <c r="N1" t="s">
        <v>14</v>
      </c>
      <c r="O1" t="s">
        <v>15</v>
      </c>
    </row>
    <row r="2" spans="1:23" x14ac:dyDescent="0.2">
      <c r="D2" s="5">
        <v>0.08</v>
      </c>
      <c r="E2" s="5">
        <v>0.03</v>
      </c>
      <c r="F2" s="1">
        <f>NPV(wacc,P29:T29)</f>
        <v>20019.695938525023</v>
      </c>
      <c r="G2" s="1">
        <f>T30*(1+tgr)/(wacc-tgr)</f>
        <v>594669.9407942777</v>
      </c>
      <c r="H2" s="1">
        <f>tv/(1+wacc)^5</f>
        <v>404722.36948564212</v>
      </c>
      <c r="I2" s="1">
        <f>F2+H2</f>
        <v>424742.06542416714</v>
      </c>
      <c r="J2" s="1">
        <f>main!C9</f>
        <v>25952</v>
      </c>
      <c r="K2" s="1">
        <f>I2+J2</f>
        <v>450694.06542416714</v>
      </c>
      <c r="L2" s="1">
        <f>main!C3</f>
        <v>3210.059659</v>
      </c>
      <c r="M2">
        <f>K2/L2</f>
        <v>140.40052625207835</v>
      </c>
      <c r="N2">
        <f>main!C2</f>
        <v>267.08999999999997</v>
      </c>
      <c r="O2" s="4">
        <f>M2/N2-1</f>
        <v>-0.47433252367337464</v>
      </c>
      <c r="V2" s="16" t="s">
        <v>62</v>
      </c>
      <c r="W2" s="17">
        <v>0.05</v>
      </c>
    </row>
    <row r="3" spans="1:23" x14ac:dyDescent="0.2">
      <c r="V3" s="18" t="s">
        <v>64</v>
      </c>
      <c r="W3" s="19">
        <v>0.12</v>
      </c>
    </row>
    <row r="4" spans="1:23" x14ac:dyDescent="0.2">
      <c r="V4" s="18" t="s">
        <v>65</v>
      </c>
      <c r="W4" s="20">
        <v>0.05</v>
      </c>
    </row>
    <row r="5" spans="1:23" x14ac:dyDescent="0.2">
      <c r="O5">
        <v>0</v>
      </c>
      <c r="P5">
        <f>+O5+1</f>
        <v>1</v>
      </c>
      <c r="Q5">
        <f t="shared" ref="Q5" si="0">+P5+1</f>
        <v>2</v>
      </c>
      <c r="R5">
        <f t="shared" ref="R5" si="1">+Q5+1</f>
        <v>3</v>
      </c>
      <c r="S5">
        <f t="shared" ref="S5" si="2">+R5+1</f>
        <v>4</v>
      </c>
      <c r="T5">
        <f t="shared" ref="T5" si="3">+S5+1</f>
        <v>5</v>
      </c>
      <c r="V5" s="18" t="s">
        <v>66</v>
      </c>
      <c r="W5" s="21">
        <v>-0.05</v>
      </c>
    </row>
    <row r="6" spans="1:23" x14ac:dyDescent="0.2">
      <c r="B6" t="s">
        <v>25</v>
      </c>
      <c r="C6" t="s">
        <v>26</v>
      </c>
      <c r="D6" t="s">
        <v>27</v>
      </c>
      <c r="E6" t="s">
        <v>28</v>
      </c>
      <c r="F6" t="s">
        <v>37</v>
      </c>
      <c r="I6">
        <v>2018</v>
      </c>
      <c r="J6">
        <v>2019</v>
      </c>
      <c r="K6">
        <v>2020</v>
      </c>
      <c r="L6">
        <v>2021</v>
      </c>
      <c r="M6">
        <v>2022</v>
      </c>
      <c r="N6">
        <v>2023</v>
      </c>
      <c r="O6">
        <v>2024</v>
      </c>
      <c r="P6">
        <f>O6+1</f>
        <v>2025</v>
      </c>
      <c r="Q6">
        <f t="shared" ref="Q6" si="4">P6+1</f>
        <v>2026</v>
      </c>
      <c r="R6">
        <f t="shared" ref="R6" si="5">Q6+1</f>
        <v>2027</v>
      </c>
      <c r="S6">
        <f t="shared" ref="S6" si="6">R6+1</f>
        <v>2028</v>
      </c>
      <c r="T6">
        <f t="shared" ref="T6" si="7">S6+1</f>
        <v>2029</v>
      </c>
      <c r="V6" s="18" t="s">
        <v>67</v>
      </c>
      <c r="W6" s="22">
        <v>0.5</v>
      </c>
    </row>
    <row r="7" spans="1:23" x14ac:dyDescent="0.2">
      <c r="A7" t="s">
        <v>38</v>
      </c>
      <c r="B7" s="1">
        <v>412376</v>
      </c>
      <c r="C7" s="1">
        <v>386576</v>
      </c>
      <c r="D7" s="1">
        <v>443668</v>
      </c>
      <c r="E7" s="1"/>
      <c r="F7" s="1">
        <f>AVERAGE(B7:D7)</f>
        <v>414206.66666666669</v>
      </c>
      <c r="G7" s="1"/>
      <c r="H7" s="1"/>
      <c r="I7" s="1"/>
      <c r="J7" s="1">
        <v>302301</v>
      </c>
      <c r="K7" s="1">
        <v>454932</v>
      </c>
      <c r="L7" s="1">
        <v>906032</v>
      </c>
      <c r="M7" s="1">
        <v>1298434</v>
      </c>
      <c r="N7" s="1">
        <v>1775159</v>
      </c>
      <c r="O7" s="1">
        <f>F7*4</f>
        <v>1656826.6666666667</v>
      </c>
      <c r="V7" s="18" t="s">
        <v>68</v>
      </c>
      <c r="W7" s="23">
        <v>0.25</v>
      </c>
    </row>
    <row r="8" spans="1:23" x14ac:dyDescent="0.2">
      <c r="A8" t="s">
        <v>39</v>
      </c>
      <c r="B8" s="1">
        <v>20995</v>
      </c>
      <c r="C8" s="1">
        <v>24255</v>
      </c>
      <c r="D8" s="1">
        <v>26128</v>
      </c>
      <c r="E8" s="1"/>
      <c r="F8" s="1">
        <f t="shared" ref="F8:F15" si="8">AVERAGE(B8:D8)</f>
        <v>23792.666666666668</v>
      </c>
      <c r="G8" s="1"/>
      <c r="H8" s="1"/>
      <c r="I8" s="1"/>
      <c r="J8" s="1">
        <v>62931</v>
      </c>
      <c r="K8" s="1">
        <v>54805</v>
      </c>
      <c r="L8" s="1">
        <v>24390</v>
      </c>
      <c r="M8" s="1">
        <v>71177</v>
      </c>
      <c r="N8" s="1">
        <v>70826</v>
      </c>
      <c r="O8" s="1">
        <f t="shared" ref="O8:O15" si="9">F8*4</f>
        <v>95170.666666666672</v>
      </c>
      <c r="V8" s="18" t="s">
        <v>69</v>
      </c>
      <c r="W8" s="24">
        <v>0.3</v>
      </c>
    </row>
    <row r="9" spans="1:23" x14ac:dyDescent="0.2">
      <c r="A9" t="s">
        <v>41</v>
      </c>
      <c r="B9" s="3">
        <f>+B7+B8</f>
        <v>433371</v>
      </c>
      <c r="C9" s="3">
        <f>+C7+C8</f>
        <v>410831</v>
      </c>
      <c r="D9" s="3">
        <f>+D7+D8</f>
        <v>469796</v>
      </c>
      <c r="E9" s="3"/>
      <c r="F9" s="1">
        <f t="shared" si="8"/>
        <v>437999.33333333331</v>
      </c>
      <c r="G9" s="1"/>
      <c r="H9" s="1"/>
      <c r="I9" s="3">
        <v>254530</v>
      </c>
      <c r="J9" s="3">
        <f t="shared" ref="J9:N9" si="10">+J7+J8</f>
        <v>365232</v>
      </c>
      <c r="K9" s="3">
        <f t="shared" si="10"/>
        <v>509737</v>
      </c>
      <c r="L9" s="3">
        <f t="shared" si="10"/>
        <v>930422</v>
      </c>
      <c r="M9" s="3">
        <f t="shared" si="10"/>
        <v>1369611</v>
      </c>
      <c r="N9" s="3">
        <f t="shared" si="10"/>
        <v>1845985</v>
      </c>
      <c r="O9" s="1">
        <f t="shared" si="9"/>
        <v>1751997.3333333333</v>
      </c>
      <c r="V9" s="18" t="s">
        <v>71</v>
      </c>
      <c r="W9" s="25">
        <v>0.15</v>
      </c>
    </row>
    <row r="10" spans="1:23" ht="16" thickBot="1" x14ac:dyDescent="0.25">
      <c r="A10" t="s">
        <v>43</v>
      </c>
      <c r="B10" s="1">
        <v>369783</v>
      </c>
      <c r="C10" s="1">
        <v>422405</v>
      </c>
      <c r="D10" s="1">
        <v>439975</v>
      </c>
      <c r="E10" s="1"/>
      <c r="F10" s="1">
        <f t="shared" si="8"/>
        <v>410721</v>
      </c>
      <c r="G10" s="1"/>
      <c r="H10" s="1"/>
      <c r="I10" s="1"/>
      <c r="J10" s="1">
        <v>300885</v>
      </c>
      <c r="K10" s="1">
        <v>442562</v>
      </c>
      <c r="L10" s="1">
        <v>911242</v>
      </c>
      <c r="M10" s="1">
        <v>1247146</v>
      </c>
      <c r="N10" s="1">
        <v>1739707</v>
      </c>
      <c r="O10" s="1">
        <f t="shared" si="9"/>
        <v>1642884</v>
      </c>
      <c r="V10" s="26" t="s">
        <v>23</v>
      </c>
      <c r="W10" s="27">
        <v>0.2</v>
      </c>
    </row>
    <row r="11" spans="1:23" x14ac:dyDescent="0.2">
      <c r="A11" t="s">
        <v>42</v>
      </c>
      <c r="B11" s="1">
        <v>17027</v>
      </c>
      <c r="C11" s="1">
        <v>21551</v>
      </c>
      <c r="D11" s="1">
        <v>22915</v>
      </c>
      <c r="E11" s="1"/>
      <c r="F11" s="1">
        <f t="shared" si="8"/>
        <v>20497.666666666668</v>
      </c>
      <c r="G11" s="1"/>
      <c r="H11" s="1"/>
      <c r="I11" s="1"/>
      <c r="J11" s="1">
        <v>66771</v>
      </c>
      <c r="K11" s="1">
        <v>57085</v>
      </c>
      <c r="L11" s="1">
        <v>24980</v>
      </c>
      <c r="M11" s="1">
        <v>66705</v>
      </c>
      <c r="N11" s="1">
        <v>68874</v>
      </c>
      <c r="O11" s="1">
        <f t="shared" si="9"/>
        <v>81990.666666666672</v>
      </c>
    </row>
    <row r="12" spans="1:23" x14ac:dyDescent="0.2">
      <c r="A12" t="s">
        <v>44</v>
      </c>
      <c r="B12" s="3">
        <f>+B10+B11</f>
        <v>386810</v>
      </c>
      <c r="C12" s="3">
        <f>+C10+C11</f>
        <v>443956</v>
      </c>
      <c r="D12" s="3">
        <f>+D10+D11</f>
        <v>462890</v>
      </c>
      <c r="E12" s="3">
        <v>520000</v>
      </c>
      <c r="F12" s="1">
        <f>AVERAGE(B12:E12)</f>
        <v>453414</v>
      </c>
      <c r="G12" s="1"/>
      <c r="H12" s="1"/>
      <c r="I12" s="3">
        <v>245506</v>
      </c>
      <c r="J12" s="3">
        <f t="shared" ref="J12:N12" si="11">+J10+J11</f>
        <v>367656</v>
      </c>
      <c r="K12" s="3">
        <f t="shared" si="11"/>
        <v>499647</v>
      </c>
      <c r="L12" s="3">
        <v>936222</v>
      </c>
      <c r="M12" s="3">
        <f t="shared" si="11"/>
        <v>1313851</v>
      </c>
      <c r="N12" s="3">
        <f t="shared" si="11"/>
        <v>1808581</v>
      </c>
      <c r="O12" s="1">
        <f t="shared" si="9"/>
        <v>1813656</v>
      </c>
      <c r="P12" s="11">
        <f>O12*(1+delivgr)</f>
        <v>1904338.8</v>
      </c>
      <c r="Q12" s="11">
        <f>P12*(1+delivgr)</f>
        <v>1999555.7400000002</v>
      </c>
      <c r="R12" s="11">
        <f>Q12*(1+delivgr)</f>
        <v>2099533.5270000002</v>
      </c>
      <c r="S12" s="11">
        <f>R12*(1+delivgr)</f>
        <v>2204510.2033500005</v>
      </c>
      <c r="T12" s="11">
        <f>S12*(1+delivgr)</f>
        <v>2314735.7135175006</v>
      </c>
    </row>
    <row r="13" spans="1:23" x14ac:dyDescent="0.2">
      <c r="A13" t="s">
        <v>45</v>
      </c>
      <c r="B13" s="1">
        <v>173131</v>
      </c>
      <c r="C13" s="1">
        <v>171353</v>
      </c>
      <c r="D13" s="1">
        <v>168867</v>
      </c>
      <c r="E13" s="1"/>
      <c r="F13" s="1">
        <f t="shared" si="8"/>
        <v>171117</v>
      </c>
      <c r="G13" s="1"/>
      <c r="H13" s="1"/>
      <c r="I13" s="1">
        <v>37134</v>
      </c>
      <c r="J13" s="1">
        <v>49901</v>
      </c>
      <c r="K13" s="1">
        <v>72089</v>
      </c>
      <c r="L13" s="1">
        <v>120342</v>
      </c>
      <c r="M13" s="1">
        <v>140667</v>
      </c>
      <c r="N13" s="1">
        <v>176564</v>
      </c>
      <c r="O13" s="1">
        <f t="shared" si="9"/>
        <v>684468</v>
      </c>
    </row>
    <row r="14" spans="1:23" x14ac:dyDescent="0.2">
      <c r="A14" t="s">
        <v>54</v>
      </c>
      <c r="B14" s="1"/>
      <c r="C14" s="1"/>
      <c r="D14" s="1"/>
      <c r="E14" s="1"/>
      <c r="F14" s="1"/>
      <c r="G14" s="1"/>
      <c r="H14" s="1"/>
      <c r="I14" s="1">
        <v>326</v>
      </c>
      <c r="J14" s="1">
        <v>173</v>
      </c>
      <c r="K14" s="1">
        <v>205</v>
      </c>
      <c r="L14" s="1">
        <v>345</v>
      </c>
      <c r="M14" s="1">
        <v>348</v>
      </c>
      <c r="N14" s="1">
        <v>223</v>
      </c>
      <c r="O14" s="1"/>
    </row>
    <row r="15" spans="1:23" x14ac:dyDescent="0.2">
      <c r="A15" t="s">
        <v>46</v>
      </c>
      <c r="B15" s="1">
        <v>4.0999999999999996</v>
      </c>
      <c r="C15" s="1">
        <v>9.4</v>
      </c>
      <c r="D15" s="1">
        <v>6.9</v>
      </c>
      <c r="E15" s="1"/>
      <c r="F15" s="1">
        <f t="shared" si="8"/>
        <v>6.8</v>
      </c>
      <c r="G15" s="1"/>
      <c r="H15" s="1"/>
      <c r="I15" s="1">
        <v>1041</v>
      </c>
      <c r="J15" s="1">
        <v>1651</v>
      </c>
      <c r="K15" s="1">
        <v>3022</v>
      </c>
      <c r="L15" s="1">
        <v>3992</v>
      </c>
      <c r="M15" s="1">
        <v>6541</v>
      </c>
      <c r="N15" s="1">
        <v>14724</v>
      </c>
      <c r="O15" s="1">
        <f t="shared" si="9"/>
        <v>27.2</v>
      </c>
    </row>
    <row r="17" spans="1:20" x14ac:dyDescent="0.2">
      <c r="A17" t="s">
        <v>32</v>
      </c>
      <c r="B17" s="1">
        <v>16460</v>
      </c>
      <c r="C17" s="1">
        <v>18530</v>
      </c>
      <c r="D17" s="1">
        <v>18831</v>
      </c>
      <c r="F17" s="1">
        <f>AVERAGE(B17:D17)</f>
        <v>17940.333333333332</v>
      </c>
      <c r="H17" s="1"/>
      <c r="I17" s="1">
        <v>17632</v>
      </c>
      <c r="J17" s="1">
        <v>19952</v>
      </c>
      <c r="K17" s="1">
        <v>26184</v>
      </c>
      <c r="L17" s="1">
        <v>44125</v>
      </c>
      <c r="M17" s="1">
        <v>67210</v>
      </c>
      <c r="N17" s="1">
        <v>78509</v>
      </c>
      <c r="O17" s="1">
        <f>F17*4</f>
        <v>71761.333333333328</v>
      </c>
      <c r="P17" s="7">
        <f>O17*(1+autogr)</f>
        <v>80372.693333333329</v>
      </c>
      <c r="Q17" s="7">
        <f>P17*(1+autogr)</f>
        <v>90017.416533333337</v>
      </c>
      <c r="R17" s="7">
        <f>Q17*(1+autogr)</f>
        <v>100819.50651733334</v>
      </c>
      <c r="S17" s="7">
        <f>R17*(1+autogr)</f>
        <v>112917.84729941335</v>
      </c>
      <c r="T17" s="7">
        <f>S17*(1+autogr)</f>
        <v>126467.98897534296</v>
      </c>
    </row>
    <row r="18" spans="1:20" x14ac:dyDescent="0.2">
      <c r="A18" t="s">
        <v>33</v>
      </c>
      <c r="B18" s="1">
        <v>442</v>
      </c>
      <c r="C18" s="1">
        <v>890</v>
      </c>
      <c r="D18" s="1">
        <v>739</v>
      </c>
      <c r="F18" s="1">
        <f t="shared" ref="F18:F34" si="12">AVERAGE(B18:D18)</f>
        <v>690.33333333333337</v>
      </c>
      <c r="H18" s="1"/>
      <c r="I18" s="1">
        <v>0</v>
      </c>
      <c r="J18" s="1">
        <v>0</v>
      </c>
      <c r="K18" s="1">
        <v>0</v>
      </c>
      <c r="L18" s="1">
        <v>1465</v>
      </c>
      <c r="M18" s="1">
        <v>1776</v>
      </c>
      <c r="N18" s="1">
        <v>1790</v>
      </c>
      <c r="O18" s="1">
        <f t="shared" ref="O18:O34" si="13">F18*4</f>
        <v>2761.3333333333335</v>
      </c>
      <c r="P18" s="8">
        <f>O18*(1+creditgr)</f>
        <v>2899.4</v>
      </c>
      <c r="Q18" s="8">
        <f>P18*(1+creditgr)</f>
        <v>3044.3700000000003</v>
      </c>
      <c r="R18" s="8">
        <f>Q18*(1+creditgr)</f>
        <v>3196.5885000000003</v>
      </c>
      <c r="S18" s="8">
        <f>R18*(1+creditgr)</f>
        <v>3356.4179250000007</v>
      </c>
      <c r="T18" s="8">
        <f>S18*(1+creditgr)</f>
        <v>3524.2388212500009</v>
      </c>
    </row>
    <row r="19" spans="1:20" x14ac:dyDescent="0.2">
      <c r="A19" t="s">
        <v>34</v>
      </c>
      <c r="B19" s="1">
        <v>476</v>
      </c>
      <c r="C19" s="1">
        <v>458</v>
      </c>
      <c r="D19" s="1">
        <v>446</v>
      </c>
      <c r="F19" s="1">
        <f t="shared" si="12"/>
        <v>460</v>
      </c>
      <c r="H19" s="1"/>
      <c r="I19" s="1">
        <v>883</v>
      </c>
      <c r="J19" s="1">
        <v>869</v>
      </c>
      <c r="K19" s="1">
        <v>1052</v>
      </c>
      <c r="L19" s="1">
        <v>1642</v>
      </c>
      <c r="M19" s="1">
        <v>2476</v>
      </c>
      <c r="N19" s="1">
        <v>2120</v>
      </c>
      <c r="O19" s="1">
        <f t="shared" si="13"/>
        <v>1840</v>
      </c>
      <c r="P19" s="9">
        <f>O19*(1+leasegr)</f>
        <v>1748</v>
      </c>
      <c r="Q19" s="9">
        <f>P19*(1+leasegr)</f>
        <v>1660.6</v>
      </c>
      <c r="R19" s="9">
        <f>Q19*(1+leasegr)</f>
        <v>1577.57</v>
      </c>
      <c r="S19" s="9">
        <f>R19*(1+leasegr)</f>
        <v>1498.6914999999999</v>
      </c>
      <c r="T19" s="9">
        <f>S19*(1+leasegr)</f>
        <v>1423.7569249999999</v>
      </c>
    </row>
    <row r="20" spans="1:20" x14ac:dyDescent="0.2">
      <c r="A20" t="s">
        <v>35</v>
      </c>
      <c r="B20" s="1">
        <v>1635</v>
      </c>
      <c r="C20" s="1">
        <v>3014</v>
      </c>
      <c r="D20" s="1">
        <v>2376</v>
      </c>
      <c r="F20" s="1">
        <f t="shared" si="12"/>
        <v>2341.6666666666665</v>
      </c>
      <c r="H20" s="1"/>
      <c r="I20" s="1">
        <v>1555</v>
      </c>
      <c r="J20" s="1">
        <v>1531</v>
      </c>
      <c r="K20" s="1">
        <v>1994</v>
      </c>
      <c r="L20" s="1">
        <v>2789</v>
      </c>
      <c r="M20" s="1">
        <v>3909</v>
      </c>
      <c r="N20" s="1">
        <v>6035</v>
      </c>
      <c r="O20" s="1">
        <f t="shared" si="13"/>
        <v>9366.6666666666661</v>
      </c>
      <c r="P20" s="10">
        <f>O20*(1+energygr)</f>
        <v>14050</v>
      </c>
      <c r="Q20" s="10">
        <f>P20*(1+energygr)</f>
        <v>21075</v>
      </c>
      <c r="R20" s="10">
        <f>Q20*(1+energygr)</f>
        <v>31612.5</v>
      </c>
      <c r="S20" s="10">
        <f>R20*(1+energygr)</f>
        <v>47418.75</v>
      </c>
      <c r="T20" s="10">
        <f>S20*(1+energygr)</f>
        <v>71128.125</v>
      </c>
    </row>
    <row r="21" spans="1:20" x14ac:dyDescent="0.2">
      <c r="A21" t="s">
        <v>36</v>
      </c>
      <c r="B21" s="1">
        <v>2288</v>
      </c>
      <c r="C21" s="1">
        <v>2608</v>
      </c>
      <c r="D21" s="1">
        <v>2790</v>
      </c>
      <c r="F21" s="1">
        <f t="shared" si="12"/>
        <v>2562</v>
      </c>
      <c r="H21" s="1"/>
      <c r="I21" s="1">
        <v>1391</v>
      </c>
      <c r="J21" s="1">
        <v>2226</v>
      </c>
      <c r="K21" s="1">
        <v>2306</v>
      </c>
      <c r="L21" s="1">
        <v>3802</v>
      </c>
      <c r="M21" s="1">
        <v>6091</v>
      </c>
      <c r="N21" s="1">
        <v>8319</v>
      </c>
      <c r="O21" s="1">
        <f t="shared" si="13"/>
        <v>10248</v>
      </c>
      <c r="P21" s="12">
        <f>O21*(1+servicegr)</f>
        <v>12810</v>
      </c>
      <c r="Q21" s="12">
        <f>P21*(1+servicegr)</f>
        <v>16012.5</v>
      </c>
      <c r="R21" s="12">
        <f>Q21*(1+servicegr)</f>
        <v>20015.625</v>
      </c>
      <c r="S21" s="12">
        <f>R21*(1+servicegr)</f>
        <v>25019.53125</v>
      </c>
      <c r="T21" s="12">
        <f>S21*(1+servicegr)</f>
        <v>31274.4140625</v>
      </c>
    </row>
    <row r="22" spans="1:20" x14ac:dyDescent="0.2">
      <c r="A22" s="2" t="s">
        <v>16</v>
      </c>
      <c r="B22" s="3">
        <f>SUM(B17:B21)</f>
        <v>21301</v>
      </c>
      <c r="C22" s="3">
        <f>SUM(C17:C21)</f>
        <v>25500</v>
      </c>
      <c r="D22" s="3">
        <f>SUM(D17:D21)</f>
        <v>25182</v>
      </c>
      <c r="F22" s="3">
        <f t="shared" si="12"/>
        <v>23994.333333333332</v>
      </c>
      <c r="H22" s="3"/>
      <c r="I22" s="3">
        <f t="shared" ref="I22:N22" si="14">SUM(I17:I21)</f>
        <v>21461</v>
      </c>
      <c r="J22" s="3">
        <f t="shared" si="14"/>
        <v>24578</v>
      </c>
      <c r="K22" s="3">
        <f t="shared" si="14"/>
        <v>31536</v>
      </c>
      <c r="L22" s="3">
        <f t="shared" si="14"/>
        <v>53823</v>
      </c>
      <c r="M22" s="3">
        <f t="shared" si="14"/>
        <v>81462</v>
      </c>
      <c r="N22" s="3">
        <f t="shared" si="14"/>
        <v>96773</v>
      </c>
      <c r="O22" s="1">
        <f t="shared" si="13"/>
        <v>95977.333333333328</v>
      </c>
      <c r="P22" s="3">
        <f t="shared" ref="P22:T22" si="15">SUM(P17:P21)</f>
        <v>111880.09333333332</v>
      </c>
      <c r="Q22" s="3">
        <f t="shared" si="15"/>
        <v>131809.88653333334</v>
      </c>
      <c r="R22" s="3">
        <f t="shared" si="15"/>
        <v>157221.79001733335</v>
      </c>
      <c r="S22" s="3">
        <f t="shared" si="15"/>
        <v>190211.23797441335</v>
      </c>
      <c r="T22" s="3">
        <f t="shared" si="15"/>
        <v>233818.52378409295</v>
      </c>
    </row>
    <row r="23" spans="1:20" x14ac:dyDescent="0.2">
      <c r="A23" t="s">
        <v>17</v>
      </c>
      <c r="B23" s="1">
        <v>17605</v>
      </c>
      <c r="C23" s="1">
        <v>20922</v>
      </c>
      <c r="D23" s="1">
        <v>20185</v>
      </c>
      <c r="F23" s="1">
        <f t="shared" si="12"/>
        <v>19570.666666666668</v>
      </c>
      <c r="H23" s="1"/>
      <c r="I23" s="1">
        <v>17419</v>
      </c>
      <c r="J23" s="1">
        <v>20509</v>
      </c>
      <c r="K23" s="1">
        <v>24906</v>
      </c>
      <c r="L23" s="1">
        <v>40217</v>
      </c>
      <c r="M23" s="1">
        <v>60609</v>
      </c>
      <c r="N23" s="1">
        <v>79113</v>
      </c>
      <c r="O23" s="1">
        <f t="shared" si="13"/>
        <v>78282.666666666672</v>
      </c>
      <c r="P23" s="1">
        <f>P22-P24</f>
        <v>78316.065333333332</v>
      </c>
      <c r="Q23" s="1">
        <f t="shared" ref="Q23:T23" si="16">Q22-Q24</f>
        <v>92266.920573333337</v>
      </c>
      <c r="R23" s="1">
        <f t="shared" si="16"/>
        <v>110055.25301213335</v>
      </c>
      <c r="S23" s="1">
        <f t="shared" si="16"/>
        <v>133147.86658208934</v>
      </c>
      <c r="T23" s="1">
        <f t="shared" si="16"/>
        <v>163672.96664886508</v>
      </c>
    </row>
    <row r="24" spans="1:20" x14ac:dyDescent="0.2">
      <c r="A24" s="2" t="s">
        <v>18</v>
      </c>
      <c r="B24" s="3">
        <f t="shared" ref="B24:D24" si="17">B22-B23</f>
        <v>3696</v>
      </c>
      <c r="C24" s="3">
        <f t="shared" si="17"/>
        <v>4578</v>
      </c>
      <c r="D24" s="3">
        <f t="shared" si="17"/>
        <v>4997</v>
      </c>
      <c r="F24" s="3">
        <f t="shared" si="12"/>
        <v>4423.666666666667</v>
      </c>
      <c r="H24" s="3"/>
      <c r="I24" s="3">
        <f t="shared" ref="I24" si="18">I22-I23</f>
        <v>4042</v>
      </c>
      <c r="J24" s="3">
        <f t="shared" ref="J24" si="19">J22-J23</f>
        <v>4069</v>
      </c>
      <c r="K24" s="3">
        <f t="shared" ref="K24" si="20">K22-K23</f>
        <v>6630</v>
      </c>
      <c r="L24" s="3">
        <f t="shared" ref="L24" si="21">L22-L23</f>
        <v>13606</v>
      </c>
      <c r="M24" s="3">
        <f t="shared" ref="M24" si="22">M22-M23</f>
        <v>20853</v>
      </c>
      <c r="N24" s="3">
        <f>N22-N23</f>
        <v>17660</v>
      </c>
      <c r="O24" s="1">
        <f t="shared" si="13"/>
        <v>17694.666666666668</v>
      </c>
      <c r="P24" s="13">
        <f>P22*gm</f>
        <v>33564.027999999998</v>
      </c>
      <c r="Q24" s="13">
        <f>Q22*gm</f>
        <v>39542.965960000001</v>
      </c>
      <c r="R24" s="13">
        <f>R22*gm</f>
        <v>47166.5370052</v>
      </c>
      <c r="S24" s="13">
        <f>S22*gm</f>
        <v>57063.371392324007</v>
      </c>
      <c r="T24" s="13">
        <f>T22*gm</f>
        <v>70145.557135227878</v>
      </c>
    </row>
    <row r="25" spans="1:20" x14ac:dyDescent="0.2">
      <c r="A25" t="s">
        <v>19</v>
      </c>
      <c r="B25" s="1">
        <v>2525</v>
      </c>
      <c r="C25" s="1">
        <v>2973</v>
      </c>
      <c r="D25" s="1">
        <v>2280</v>
      </c>
      <c r="F25" s="1">
        <f t="shared" si="12"/>
        <v>2592.6666666666665</v>
      </c>
      <c r="H25" s="1"/>
      <c r="I25" s="1">
        <v>4430</v>
      </c>
      <c r="J25" s="1">
        <v>4138</v>
      </c>
      <c r="K25" s="1">
        <v>4636</v>
      </c>
      <c r="L25" s="1">
        <v>7083</v>
      </c>
      <c r="M25" s="1">
        <v>7197</v>
      </c>
      <c r="N25" s="1">
        <v>8769</v>
      </c>
      <c r="O25" s="1">
        <f t="shared" si="13"/>
        <v>10370.666666666666</v>
      </c>
      <c r="P25" s="1">
        <f>P24-P26</f>
        <v>16782.013999999999</v>
      </c>
      <c r="Q25" s="1">
        <f t="shared" ref="Q25:T25" si="23">Q24-Q26</f>
        <v>19771.482980000001</v>
      </c>
      <c r="R25" s="1">
        <f t="shared" si="23"/>
        <v>23583.2685026</v>
      </c>
      <c r="S25" s="1">
        <f t="shared" si="23"/>
        <v>28531.685696162003</v>
      </c>
      <c r="T25" s="1">
        <f t="shared" si="23"/>
        <v>35072.778567613939</v>
      </c>
    </row>
    <row r="26" spans="1:20" x14ac:dyDescent="0.2">
      <c r="A26" s="2" t="s">
        <v>20</v>
      </c>
      <c r="B26" s="3">
        <f t="shared" ref="B26:D26" si="24">B24-B25</f>
        <v>1171</v>
      </c>
      <c r="C26" s="3">
        <f t="shared" si="24"/>
        <v>1605</v>
      </c>
      <c r="D26" s="3">
        <f t="shared" si="24"/>
        <v>2717</v>
      </c>
      <c r="F26" s="3">
        <f t="shared" si="12"/>
        <v>1831</v>
      </c>
      <c r="H26" s="3"/>
      <c r="I26" s="3">
        <f t="shared" ref="I26" si="25">I24-I25</f>
        <v>-388</v>
      </c>
      <c r="J26" s="3">
        <f t="shared" ref="J26" si="26">J24-J25</f>
        <v>-69</v>
      </c>
      <c r="K26" s="3">
        <f t="shared" ref="K26" si="27">K24-K25</f>
        <v>1994</v>
      </c>
      <c r="L26" s="3">
        <f t="shared" ref="L26" si="28">L24-L25</f>
        <v>6523</v>
      </c>
      <c r="M26" s="3">
        <f t="shared" ref="M26" si="29">M24-M25</f>
        <v>13656</v>
      </c>
      <c r="N26" s="3">
        <f>N24-N25</f>
        <v>8891</v>
      </c>
      <c r="O26" s="1">
        <f t="shared" si="13"/>
        <v>7324</v>
      </c>
      <c r="P26" s="14">
        <f>P22*om</f>
        <v>16782.013999999999</v>
      </c>
      <c r="Q26" s="14">
        <f>Q22*om</f>
        <v>19771.482980000001</v>
      </c>
      <c r="R26" s="14">
        <f>R22*om</f>
        <v>23583.2685026</v>
      </c>
      <c r="S26" s="14">
        <f>S22*om</f>
        <v>28531.685696162003</v>
      </c>
      <c r="T26" s="14">
        <f>T22*om</f>
        <v>35072.778567613939</v>
      </c>
    </row>
    <row r="27" spans="1:20" x14ac:dyDescent="0.2">
      <c r="A27" t="s">
        <v>21</v>
      </c>
      <c r="B27" s="1">
        <f>350+-76+108</f>
        <v>382</v>
      </c>
      <c r="C27" s="1">
        <f>348+-86+20</f>
        <v>282</v>
      </c>
      <c r="D27" s="1">
        <f>429+-92+-270</f>
        <v>67</v>
      </c>
      <c r="F27" s="1">
        <f t="shared" si="12"/>
        <v>243.66666666666666</v>
      </c>
      <c r="H27" s="1"/>
      <c r="I27" s="1">
        <f>24+-663+22</f>
        <v>-617</v>
      </c>
      <c r="J27" s="1">
        <f>44+-685+45</f>
        <v>-596</v>
      </c>
      <c r="K27" s="1">
        <f>30+-748+-122</f>
        <v>-840</v>
      </c>
      <c r="L27" s="1">
        <f>56+-371+135</f>
        <v>-180</v>
      </c>
      <c r="M27" s="1">
        <f>297+-191+-43</f>
        <v>63</v>
      </c>
      <c r="N27" s="1">
        <f>1066+-156+172</f>
        <v>1082</v>
      </c>
      <c r="O27" s="1">
        <f t="shared" si="13"/>
        <v>974.66666666666663</v>
      </c>
      <c r="P27" s="1">
        <f>AVERAGE(N27:O27)</f>
        <v>1028.3333333333333</v>
      </c>
      <c r="Q27" s="1">
        <f>AVERAGE(O27:P27)</f>
        <v>1001.5</v>
      </c>
      <c r="R27" s="1">
        <f>AVERAGE(P27:Q27)</f>
        <v>1014.9166666666666</v>
      </c>
      <c r="S27" s="1">
        <f>AVERAGE(Q27:R27)</f>
        <v>1008.2083333333333</v>
      </c>
      <c r="T27" s="1">
        <f>AVERAGE(R27:S27)</f>
        <v>1011.5625</v>
      </c>
    </row>
    <row r="28" spans="1:20" x14ac:dyDescent="0.2">
      <c r="A28" t="s">
        <v>22</v>
      </c>
      <c r="B28" s="3">
        <f t="shared" ref="B28:D28" si="30">+B26+B27</f>
        <v>1553</v>
      </c>
      <c r="C28" s="3">
        <f t="shared" si="30"/>
        <v>1887</v>
      </c>
      <c r="D28" s="3">
        <f t="shared" si="30"/>
        <v>2784</v>
      </c>
      <c r="F28" s="3">
        <f t="shared" si="12"/>
        <v>2074.6666666666665</v>
      </c>
      <c r="H28" s="3"/>
      <c r="I28" s="3">
        <f t="shared" ref="I28" si="31">+I26+I27</f>
        <v>-1005</v>
      </c>
      <c r="J28" s="3">
        <f t="shared" ref="J28" si="32">+J26+J27</f>
        <v>-665</v>
      </c>
      <c r="K28" s="3">
        <f t="shared" ref="K28" si="33">+K26+K27</f>
        <v>1154</v>
      </c>
      <c r="L28" s="3">
        <f t="shared" ref="L28" si="34">+L26+L27</f>
        <v>6343</v>
      </c>
      <c r="M28" s="3">
        <f t="shared" ref="M28" si="35">+M26+M27</f>
        <v>13719</v>
      </c>
      <c r="N28" s="3">
        <f>+N26+N27</f>
        <v>9973</v>
      </c>
      <c r="O28" s="1">
        <f t="shared" si="13"/>
        <v>8298.6666666666661</v>
      </c>
      <c r="P28" s="3">
        <f>P26+P27</f>
        <v>17810.347333333331</v>
      </c>
      <c r="Q28" s="3">
        <f t="shared" ref="Q28:T28" si="36">Q26+Q27</f>
        <v>20772.982980000001</v>
      </c>
      <c r="R28" s="3">
        <f t="shared" si="36"/>
        <v>24598.185169266668</v>
      </c>
      <c r="S28" s="3">
        <f t="shared" si="36"/>
        <v>29539.894029495335</v>
      </c>
      <c r="T28" s="3">
        <f t="shared" si="36"/>
        <v>36084.341067613939</v>
      </c>
    </row>
    <row r="29" spans="1:20" x14ac:dyDescent="0.2">
      <c r="A29" t="s">
        <v>23</v>
      </c>
      <c r="B29" s="1">
        <v>409</v>
      </c>
      <c r="C29" s="1">
        <v>393</v>
      </c>
      <c r="D29" s="1">
        <v>601</v>
      </c>
      <c r="F29" s="1">
        <f t="shared" si="12"/>
        <v>467.66666666666669</v>
      </c>
      <c r="H29" s="1"/>
      <c r="I29" s="1">
        <v>58</v>
      </c>
      <c r="J29" s="1">
        <v>110</v>
      </c>
      <c r="K29" s="1">
        <v>292</v>
      </c>
      <c r="L29" s="1">
        <v>699</v>
      </c>
      <c r="M29" s="1">
        <v>1132</v>
      </c>
      <c r="N29" s="1">
        <f>+-5001</f>
        <v>-5001</v>
      </c>
      <c r="O29" s="1">
        <f t="shared" si="13"/>
        <v>1870.6666666666667</v>
      </c>
      <c r="P29" s="15">
        <f>P28*tax</f>
        <v>3562.0694666666664</v>
      </c>
      <c r="Q29" s="15">
        <f>Q28*tax</f>
        <v>4154.5965960000003</v>
      </c>
      <c r="R29" s="15">
        <f>R28*tax</f>
        <v>4919.6370338533343</v>
      </c>
      <c r="S29" s="15">
        <f>S28*tax</f>
        <v>5907.9788058990671</v>
      </c>
      <c r="T29" s="15">
        <f>T28*tax</f>
        <v>7216.8682135227882</v>
      </c>
    </row>
    <row r="30" spans="1:20" x14ac:dyDescent="0.2">
      <c r="A30" t="s">
        <v>24</v>
      </c>
      <c r="B30" s="3">
        <f t="shared" ref="B30:D30" si="37">+B28-B29</f>
        <v>1144</v>
      </c>
      <c r="C30" s="3">
        <f t="shared" si="37"/>
        <v>1494</v>
      </c>
      <c r="D30" s="3">
        <f t="shared" si="37"/>
        <v>2183</v>
      </c>
      <c r="F30" s="3">
        <f t="shared" si="12"/>
        <v>1607</v>
      </c>
      <c r="H30" s="3"/>
      <c r="I30" s="3">
        <f t="shared" ref="I30" si="38">+I28-I29</f>
        <v>-1063</v>
      </c>
      <c r="J30" s="3">
        <f t="shared" ref="J30" si="39">+J28-J29</f>
        <v>-775</v>
      </c>
      <c r="K30" s="3">
        <f t="shared" ref="K30" si="40">+K28-K29</f>
        <v>862</v>
      </c>
      <c r="L30" s="3">
        <f t="shared" ref="L30" si="41">+L28-L29</f>
        <v>5644</v>
      </c>
      <c r="M30" s="3">
        <f t="shared" ref="M30" si="42">+M28-M29</f>
        <v>12587</v>
      </c>
      <c r="N30" s="3">
        <f>+N28-N29</f>
        <v>14974</v>
      </c>
      <c r="O30" s="1">
        <f t="shared" si="13"/>
        <v>6428</v>
      </c>
      <c r="P30" s="3">
        <f t="shared" ref="P30:T30" si="43">+P28-P29</f>
        <v>14248.277866666665</v>
      </c>
      <c r="Q30" s="3">
        <f t="shared" si="43"/>
        <v>16618.386384000001</v>
      </c>
      <c r="R30" s="3">
        <f t="shared" si="43"/>
        <v>19678.548135413334</v>
      </c>
      <c r="S30" s="3">
        <f t="shared" si="43"/>
        <v>23631.915223596268</v>
      </c>
      <c r="T30" s="3">
        <f t="shared" si="43"/>
        <v>28867.472854091153</v>
      </c>
    </row>
    <row r="31" spans="1:20" x14ac:dyDescent="0.2">
      <c r="F31" s="1"/>
      <c r="O31" s="1"/>
    </row>
    <row r="32" spans="1:20" x14ac:dyDescent="0.2">
      <c r="A32" t="s">
        <v>29</v>
      </c>
      <c r="B32" s="1">
        <v>242</v>
      </c>
      <c r="C32" s="1">
        <v>3612</v>
      </c>
      <c r="D32" s="1">
        <v>6255</v>
      </c>
      <c r="F32" s="1">
        <f t="shared" si="12"/>
        <v>3369.6666666666665</v>
      </c>
      <c r="H32" s="1"/>
      <c r="I32" s="1">
        <v>2098</v>
      </c>
      <c r="J32" s="1">
        <v>2405</v>
      </c>
      <c r="K32" s="1">
        <v>5943</v>
      </c>
      <c r="L32" s="1">
        <v>11497</v>
      </c>
      <c r="M32" s="1">
        <v>14724</v>
      </c>
      <c r="N32" s="1">
        <v>13265</v>
      </c>
      <c r="O32" s="1">
        <f t="shared" si="13"/>
        <v>13478.666666666666</v>
      </c>
    </row>
    <row r="33" spans="1:25" x14ac:dyDescent="0.2">
      <c r="A33" t="s">
        <v>30</v>
      </c>
      <c r="B33" s="1">
        <f>+-2773</f>
        <v>-2773</v>
      </c>
      <c r="C33" s="1">
        <v>-2270</v>
      </c>
      <c r="D33" s="1">
        <f>+-3513</f>
        <v>-3513</v>
      </c>
      <c r="F33" s="1">
        <f t="shared" si="12"/>
        <v>-2852</v>
      </c>
      <c r="H33" s="1"/>
      <c r="I33" s="1">
        <f>+-2101</f>
        <v>-2101</v>
      </c>
      <c r="J33" s="1">
        <f>+-1327</f>
        <v>-1327</v>
      </c>
      <c r="K33" s="1">
        <f>+-3147</f>
        <v>-3147</v>
      </c>
      <c r="L33" s="1">
        <v>-6482</v>
      </c>
      <c r="M33" s="1">
        <v>-7158</v>
      </c>
      <c r="N33" s="1">
        <v>-8898</v>
      </c>
      <c r="O33" s="1">
        <f t="shared" si="13"/>
        <v>-11408</v>
      </c>
    </row>
    <row r="34" spans="1:25" x14ac:dyDescent="0.2">
      <c r="A34" s="2" t="s">
        <v>31</v>
      </c>
      <c r="B34" s="3">
        <f t="shared" ref="B34" si="44">+B32+B33</f>
        <v>-2531</v>
      </c>
      <c r="C34" s="3">
        <f t="shared" ref="C34" si="45">+C32+C33</f>
        <v>1342</v>
      </c>
      <c r="D34" s="3">
        <f t="shared" ref="D34" si="46">+D32+D33</f>
        <v>2742</v>
      </c>
      <c r="E34" s="2"/>
      <c r="F34" s="3">
        <f t="shared" si="12"/>
        <v>517.66666666666663</v>
      </c>
      <c r="G34" s="2"/>
      <c r="H34" s="3"/>
      <c r="I34" s="3">
        <f t="shared" ref="I34" si="47">+I32+I33</f>
        <v>-3</v>
      </c>
      <c r="J34" s="3">
        <f t="shared" ref="J34" si="48">+J32+J33</f>
        <v>1078</v>
      </c>
      <c r="K34" s="3">
        <f t="shared" ref="K34" si="49">+K32+K33</f>
        <v>2796</v>
      </c>
      <c r="L34" s="3">
        <f>+L32+L33</f>
        <v>5015</v>
      </c>
      <c r="M34" s="3">
        <f>+M32+M33</f>
        <v>7566</v>
      </c>
      <c r="N34" s="3">
        <f>+N32+N33</f>
        <v>4367</v>
      </c>
      <c r="O34" s="1">
        <f t="shared" si="13"/>
        <v>2070.6666666666665</v>
      </c>
      <c r="P34" s="2"/>
      <c r="Q34" s="2"/>
    </row>
    <row r="36" spans="1:25" x14ac:dyDescent="0.2">
      <c r="A36" t="s">
        <v>57</v>
      </c>
      <c r="C36" s="4">
        <f>C12/B12-1</f>
        <v>0.14773661487552037</v>
      </c>
      <c r="D36" s="4">
        <f>D12/C12-1</f>
        <v>4.2648370559244642E-2</v>
      </c>
      <c r="J36" s="4">
        <f t="shared" ref="J36:O36" si="50">J12/I12-1</f>
        <v>0.49754384821552233</v>
      </c>
      <c r="K36" s="4">
        <f t="shared" si="50"/>
        <v>0.35900678895489269</v>
      </c>
      <c r="L36" s="4">
        <f t="shared" si="50"/>
        <v>0.87376687941686826</v>
      </c>
      <c r="M36" s="4">
        <f t="shared" si="50"/>
        <v>0.40335411900168983</v>
      </c>
      <c r="N36" s="4">
        <f t="shared" si="50"/>
        <v>0.37654954785588313</v>
      </c>
      <c r="O36" s="4">
        <f t="shared" si="50"/>
        <v>2.8060672980640966E-3</v>
      </c>
      <c r="P36" s="4">
        <f t="shared" ref="P36:T36" si="51">P12/O12-1</f>
        <v>5.0000000000000044E-2</v>
      </c>
      <c r="Q36" s="4">
        <f t="shared" si="51"/>
        <v>5.0000000000000044E-2</v>
      </c>
      <c r="R36" s="4">
        <f t="shared" si="51"/>
        <v>5.0000000000000044E-2</v>
      </c>
      <c r="S36" s="4">
        <f t="shared" si="51"/>
        <v>5.0000000000000044E-2</v>
      </c>
      <c r="T36" s="4">
        <f t="shared" si="51"/>
        <v>5.0000000000000044E-2</v>
      </c>
    </row>
    <row r="37" spans="1:25" x14ac:dyDescent="0.2">
      <c r="C37" s="4"/>
      <c r="D37" s="4"/>
      <c r="J37" s="4"/>
      <c r="K37" s="4"/>
      <c r="L37" s="4"/>
      <c r="M37" s="4"/>
      <c r="N37" s="4"/>
      <c r="O37" s="4"/>
    </row>
    <row r="38" spans="1:25" x14ac:dyDescent="0.2">
      <c r="A38" t="s">
        <v>40</v>
      </c>
      <c r="C38" s="4">
        <f t="shared" ref="C38:D43" si="52">C17/B17-1</f>
        <v>0.12575941676792213</v>
      </c>
      <c r="D38" s="4">
        <f t="shared" si="52"/>
        <v>1.6243928764166249E-2</v>
      </c>
      <c r="J38" s="4">
        <f t="shared" ref="J38:O38" si="53">J17/I17-1</f>
        <v>0.13157894736842102</v>
      </c>
      <c r="K38" s="4">
        <f t="shared" si="53"/>
        <v>0.31234963913392133</v>
      </c>
      <c r="L38" s="4">
        <f t="shared" si="53"/>
        <v>0.68518942865872279</v>
      </c>
      <c r="M38" s="4">
        <f t="shared" si="53"/>
        <v>0.52317280453257786</v>
      </c>
      <c r="N38" s="4">
        <f t="shared" si="53"/>
        <v>0.16811486385954466</v>
      </c>
      <c r="O38" s="4">
        <f t="shared" si="53"/>
        <v>-8.5947683280473197E-2</v>
      </c>
      <c r="P38" s="4">
        <f t="shared" ref="P38:T38" si="54">P17/O17-1</f>
        <v>0.12000000000000011</v>
      </c>
      <c r="Q38" s="4">
        <f t="shared" si="54"/>
        <v>0.12000000000000011</v>
      </c>
      <c r="R38" s="4">
        <f t="shared" si="54"/>
        <v>0.12000000000000011</v>
      </c>
      <c r="S38" s="4">
        <f t="shared" si="54"/>
        <v>0.12000000000000011</v>
      </c>
      <c r="T38" s="4">
        <f t="shared" si="54"/>
        <v>0.12000000000000011</v>
      </c>
      <c r="Y38" s="5"/>
    </row>
    <row r="39" spans="1:25" x14ac:dyDescent="0.2">
      <c r="A39" t="s">
        <v>58</v>
      </c>
      <c r="C39" s="4">
        <f t="shared" si="52"/>
        <v>1.0135746606334841</v>
      </c>
      <c r="D39" s="4">
        <f t="shared" si="52"/>
        <v>-0.16966292134831462</v>
      </c>
      <c r="E39" s="4"/>
      <c r="F39" s="4"/>
      <c r="G39" s="4"/>
      <c r="H39" s="4"/>
      <c r="I39" s="4"/>
      <c r="J39" s="4"/>
      <c r="K39" s="4"/>
      <c r="L39" s="4"/>
      <c r="M39" s="4">
        <f t="shared" ref="M39:O43" si="55">M18/L18-1</f>
        <v>0.21228668941979523</v>
      </c>
      <c r="N39" s="4">
        <f t="shared" si="55"/>
        <v>7.8828828828829689E-3</v>
      </c>
      <c r="O39" s="4">
        <f t="shared" si="55"/>
        <v>0.54264432029795162</v>
      </c>
      <c r="P39" s="4">
        <f t="shared" ref="P39:T39" si="56">P18/O18-1</f>
        <v>5.0000000000000044E-2</v>
      </c>
      <c r="Q39" s="4">
        <f t="shared" si="56"/>
        <v>5.0000000000000044E-2</v>
      </c>
      <c r="R39" s="4">
        <f t="shared" si="56"/>
        <v>5.0000000000000044E-2</v>
      </c>
      <c r="S39" s="4">
        <f t="shared" si="56"/>
        <v>5.0000000000000044E-2</v>
      </c>
      <c r="T39" s="4">
        <f t="shared" si="56"/>
        <v>5.0000000000000044E-2</v>
      </c>
    </row>
    <row r="40" spans="1:25" x14ac:dyDescent="0.2">
      <c r="A40" t="s">
        <v>59</v>
      </c>
      <c r="C40" s="4">
        <f t="shared" si="52"/>
        <v>-3.7815126050420145E-2</v>
      </c>
      <c r="D40" s="4">
        <f t="shared" si="52"/>
        <v>-2.6200873362445365E-2</v>
      </c>
      <c r="E40" s="4"/>
      <c r="F40" s="4"/>
      <c r="G40" s="4"/>
      <c r="H40" s="4"/>
      <c r="I40" s="4"/>
      <c r="J40" s="4">
        <f t="shared" ref="J40:L43" si="57">J19/I19-1</f>
        <v>-1.5855039637599044E-2</v>
      </c>
      <c r="K40" s="4">
        <f t="shared" si="57"/>
        <v>0.21058688147295745</v>
      </c>
      <c r="L40" s="4">
        <f t="shared" si="57"/>
        <v>0.56083650190114076</v>
      </c>
      <c r="M40" s="4">
        <f t="shared" si="55"/>
        <v>0.50791717417783189</v>
      </c>
      <c r="N40" s="4">
        <f t="shared" si="55"/>
        <v>-0.14378029079159937</v>
      </c>
      <c r="O40" s="4">
        <f t="shared" si="55"/>
        <v>-0.13207547169811318</v>
      </c>
      <c r="P40" s="4">
        <f t="shared" ref="P40:T40" si="58">P19/O19-1</f>
        <v>-5.0000000000000044E-2</v>
      </c>
      <c r="Q40" s="4">
        <f t="shared" si="58"/>
        <v>-5.0000000000000044E-2</v>
      </c>
      <c r="R40" s="4">
        <f t="shared" si="58"/>
        <v>-4.9999999999999933E-2</v>
      </c>
      <c r="S40" s="4">
        <f t="shared" si="58"/>
        <v>-5.0000000000000044E-2</v>
      </c>
      <c r="T40" s="4">
        <f t="shared" si="58"/>
        <v>-5.0000000000000044E-2</v>
      </c>
    </row>
    <row r="41" spans="1:25" x14ac:dyDescent="0.2">
      <c r="A41" t="s">
        <v>60</v>
      </c>
      <c r="C41" s="4">
        <f t="shared" si="52"/>
        <v>0.84342507645259945</v>
      </c>
      <c r="D41" s="4">
        <f t="shared" si="52"/>
        <v>-0.21167883211678828</v>
      </c>
      <c r="E41" s="4"/>
      <c r="F41" s="4"/>
      <c r="G41" s="4"/>
      <c r="H41" s="4"/>
      <c r="I41" s="4"/>
      <c r="J41" s="4">
        <f t="shared" si="57"/>
        <v>-1.5434083601286175E-2</v>
      </c>
      <c r="K41" s="4">
        <f t="shared" si="57"/>
        <v>0.30241672109732209</v>
      </c>
      <c r="L41" s="4">
        <f t="shared" si="57"/>
        <v>0.3986960882647943</v>
      </c>
      <c r="M41" s="4">
        <f t="shared" si="55"/>
        <v>0.40157762638938688</v>
      </c>
      <c r="N41" s="4">
        <f t="shared" si="55"/>
        <v>0.54387311332821686</v>
      </c>
      <c r="O41" s="4">
        <f t="shared" si="55"/>
        <v>0.55205744269538792</v>
      </c>
      <c r="P41" s="4">
        <f t="shared" ref="P41:T41" si="59">P20/O20-1</f>
        <v>0.5</v>
      </c>
      <c r="Q41" s="4">
        <f t="shared" si="59"/>
        <v>0.5</v>
      </c>
      <c r="R41" s="4">
        <f t="shared" si="59"/>
        <v>0.5</v>
      </c>
      <c r="S41" s="4">
        <f t="shared" si="59"/>
        <v>0.5</v>
      </c>
      <c r="T41" s="4">
        <f t="shared" si="59"/>
        <v>0.5</v>
      </c>
    </row>
    <row r="42" spans="1:25" x14ac:dyDescent="0.2">
      <c r="A42" t="s">
        <v>61</v>
      </c>
      <c r="C42" s="4">
        <f t="shared" si="52"/>
        <v>0.13986013986013979</v>
      </c>
      <c r="D42" s="4">
        <f t="shared" si="52"/>
        <v>6.9785276073619729E-2</v>
      </c>
      <c r="E42" s="4"/>
      <c r="F42" s="4"/>
      <c r="G42" s="4"/>
      <c r="H42" s="4"/>
      <c r="I42" s="4"/>
      <c r="J42" s="4">
        <f t="shared" si="57"/>
        <v>0.60028756290438534</v>
      </c>
      <c r="K42" s="4">
        <f t="shared" si="57"/>
        <v>3.5938903863432126E-2</v>
      </c>
      <c r="L42" s="4">
        <f t="shared" si="57"/>
        <v>0.64874241110147435</v>
      </c>
      <c r="M42" s="4">
        <f t="shared" si="55"/>
        <v>0.60205155181483438</v>
      </c>
      <c r="N42" s="4">
        <f t="shared" si="55"/>
        <v>0.36578558528977179</v>
      </c>
      <c r="O42" s="4">
        <f t="shared" si="55"/>
        <v>0.23187883159033529</v>
      </c>
      <c r="P42" s="4">
        <f t="shared" ref="P42:T42" si="60">P21/O21-1</f>
        <v>0.25</v>
      </c>
      <c r="Q42" s="4">
        <f t="shared" si="60"/>
        <v>0.25</v>
      </c>
      <c r="R42" s="4">
        <f t="shared" si="60"/>
        <v>0.25</v>
      </c>
      <c r="S42" s="4">
        <f t="shared" si="60"/>
        <v>0.25</v>
      </c>
      <c r="T42" s="4">
        <f t="shared" si="60"/>
        <v>0.25</v>
      </c>
    </row>
    <row r="43" spans="1:25" x14ac:dyDescent="0.2">
      <c r="A43" t="s">
        <v>55</v>
      </c>
      <c r="B43" s="4"/>
      <c r="C43" s="4">
        <f t="shared" si="52"/>
        <v>0.19712689545091777</v>
      </c>
      <c r="D43" s="4">
        <f t="shared" si="52"/>
        <v>-1.2470588235294122E-2</v>
      </c>
      <c r="E43" s="4"/>
      <c r="F43" s="4"/>
      <c r="J43" s="4">
        <f t="shared" si="57"/>
        <v>0.14524020315921904</v>
      </c>
      <c r="K43" s="4">
        <f t="shared" si="57"/>
        <v>0.28309870615998056</v>
      </c>
      <c r="L43" s="4">
        <f t="shared" si="57"/>
        <v>0.70671613394216126</v>
      </c>
      <c r="M43" s="4">
        <f t="shared" si="55"/>
        <v>0.51351652639206291</v>
      </c>
      <c r="N43" s="4">
        <f t="shared" si="55"/>
        <v>0.18795266504627928</v>
      </c>
      <c r="O43" s="4">
        <f t="shared" si="55"/>
        <v>-8.2219902934358435E-3</v>
      </c>
    </row>
    <row r="44" spans="1:25" x14ac:dyDescent="0.2">
      <c r="B44" s="4"/>
      <c r="C44" s="4"/>
      <c r="D44" s="4"/>
      <c r="E44" s="4"/>
      <c r="F44" s="4"/>
      <c r="J44" s="4"/>
      <c r="K44" s="4"/>
      <c r="L44" s="4"/>
      <c r="M44" s="4"/>
      <c r="N44" s="4"/>
      <c r="O44" s="4"/>
    </row>
    <row r="45" spans="1:25" x14ac:dyDescent="0.2">
      <c r="A45" t="s">
        <v>56</v>
      </c>
      <c r="B45" s="4">
        <f>B24/B22</f>
        <v>0.1735129806112389</v>
      </c>
      <c r="C45" s="4">
        <f>C24/C22</f>
        <v>0.17952941176470588</v>
      </c>
      <c r="D45" s="4">
        <f>D24/D22</f>
        <v>0.19843539035819235</v>
      </c>
      <c r="E45" s="4"/>
      <c r="F45" s="4">
        <f>F24/F22</f>
        <v>0.18436297459122294</v>
      </c>
      <c r="G45" s="4"/>
      <c r="H45" s="4"/>
      <c r="I45" s="4">
        <f t="shared" ref="I45:O45" si="61">I24/I22</f>
        <v>0.18834164298028983</v>
      </c>
      <c r="J45" s="4">
        <f t="shared" si="61"/>
        <v>0.1655545609895028</v>
      </c>
      <c r="K45" s="4">
        <f t="shared" si="61"/>
        <v>0.2102359208523592</v>
      </c>
      <c r="L45" s="4">
        <f t="shared" si="61"/>
        <v>0.25279155751258753</v>
      </c>
      <c r="M45" s="4">
        <f t="shared" si="61"/>
        <v>0.25598438535759005</v>
      </c>
      <c r="N45" s="4">
        <f t="shared" si="61"/>
        <v>0.18248891736331416</v>
      </c>
      <c r="O45" s="4">
        <f t="shared" si="61"/>
        <v>0.18436297459122294</v>
      </c>
      <c r="P45" s="4">
        <f t="shared" ref="P45:T45" si="62">P24/P22</f>
        <v>0.3</v>
      </c>
      <c r="Q45" s="4">
        <f t="shared" si="62"/>
        <v>0.3</v>
      </c>
      <c r="R45" s="4">
        <f t="shared" si="62"/>
        <v>0.3</v>
      </c>
      <c r="S45" s="4">
        <f t="shared" si="62"/>
        <v>0.3</v>
      </c>
      <c r="T45" s="4">
        <f t="shared" si="62"/>
        <v>0.3</v>
      </c>
    </row>
    <row r="46" spans="1:25" x14ac:dyDescent="0.2">
      <c r="A46" t="s">
        <v>70</v>
      </c>
      <c r="B46" s="4">
        <f>B26/B22</f>
        <v>5.4973944885216654E-2</v>
      </c>
      <c r="C46" s="4">
        <f t="shared" ref="C46:T46" si="63">C26/C22</f>
        <v>6.2941176470588237E-2</v>
      </c>
      <c r="D46" s="4">
        <f t="shared" si="63"/>
        <v>0.10789452783734413</v>
      </c>
      <c r="E46" s="4"/>
      <c r="F46" s="4"/>
      <c r="G46" s="4"/>
      <c r="H46" s="4"/>
      <c r="I46" s="4">
        <f t="shared" si="63"/>
        <v>-1.8079306649270769E-2</v>
      </c>
      <c r="J46" s="4">
        <f t="shared" si="63"/>
        <v>-2.8073887216209618E-3</v>
      </c>
      <c r="K46" s="4">
        <f t="shared" si="63"/>
        <v>6.3229325215626589E-2</v>
      </c>
      <c r="L46" s="4">
        <f t="shared" si="63"/>
        <v>0.12119354179440016</v>
      </c>
      <c r="M46" s="4">
        <f t="shared" si="63"/>
        <v>0.16763644398615304</v>
      </c>
      <c r="N46" s="4">
        <f t="shared" si="63"/>
        <v>9.1874799789197395E-2</v>
      </c>
      <c r="O46" s="4">
        <f t="shared" si="63"/>
        <v>7.6309684230998986E-2</v>
      </c>
      <c r="P46" s="4">
        <f t="shared" si="63"/>
        <v>0.15</v>
      </c>
      <c r="Q46" s="4">
        <f t="shared" si="63"/>
        <v>0.15</v>
      </c>
      <c r="R46" s="4">
        <f t="shared" si="63"/>
        <v>0.15</v>
      </c>
      <c r="S46" s="4">
        <f t="shared" si="63"/>
        <v>0.15</v>
      </c>
      <c r="T46" s="4">
        <f t="shared" si="63"/>
        <v>0.15</v>
      </c>
    </row>
    <row r="47" spans="1:25" x14ac:dyDescent="0.2">
      <c r="A47" t="s">
        <v>72</v>
      </c>
      <c r="B47" s="4">
        <f>B29/B28</f>
        <v>0.26336123631680619</v>
      </c>
      <c r="C47" s="4">
        <f t="shared" ref="C47:D47" si="64">C29/C28</f>
        <v>0.20826709062003179</v>
      </c>
      <c r="D47" s="4">
        <f t="shared" si="64"/>
        <v>0.2158764367816092</v>
      </c>
      <c r="E47" s="4"/>
      <c r="F47" s="4"/>
      <c r="G47" s="4"/>
      <c r="H47" s="4"/>
      <c r="I47" s="4">
        <f t="shared" ref="I47:T47" si="65">I29/I28</f>
        <v>-5.7711442786069649E-2</v>
      </c>
      <c r="J47" s="4">
        <f t="shared" si="65"/>
        <v>-0.16541353383458646</v>
      </c>
      <c r="K47" s="4">
        <f t="shared" si="65"/>
        <v>0.2530329289428076</v>
      </c>
      <c r="L47" s="4">
        <f t="shared" si="65"/>
        <v>0.11020022071574964</v>
      </c>
      <c r="M47" s="4">
        <f t="shared" si="65"/>
        <v>8.2513302718857054E-2</v>
      </c>
      <c r="N47" s="4">
        <f t="shared" si="65"/>
        <v>-0.50145392559911761</v>
      </c>
      <c r="O47" s="4">
        <f t="shared" si="65"/>
        <v>0.2254177377892031</v>
      </c>
      <c r="P47" s="4">
        <f t="shared" si="65"/>
        <v>0.2</v>
      </c>
      <c r="Q47" s="4">
        <f t="shared" si="65"/>
        <v>0.2</v>
      </c>
      <c r="R47" s="4">
        <f t="shared" si="65"/>
        <v>0.20000000000000004</v>
      </c>
      <c r="S47" s="4">
        <f t="shared" si="65"/>
        <v>0.2</v>
      </c>
      <c r="T47" s="4">
        <f t="shared" si="65"/>
        <v>0.2</v>
      </c>
    </row>
    <row r="48" spans="1:25" x14ac:dyDescent="0.2">
      <c r="A48" t="s">
        <v>63</v>
      </c>
      <c r="B48" s="6">
        <f>((B17*1000000)/B12)</f>
        <v>42553.191489361699</v>
      </c>
      <c r="C48" s="6">
        <f>((C17*1000000)/C12)</f>
        <v>41738.370469145593</v>
      </c>
      <c r="D48" s="6">
        <f>((D17*1000000)/D12)</f>
        <v>40681.371384130136</v>
      </c>
      <c r="E48" s="6"/>
      <c r="F48" s="6"/>
      <c r="G48" s="6"/>
      <c r="H48" s="6"/>
      <c r="I48" s="6">
        <f>((I17*1000000)/I12)</f>
        <v>71819.01867978787</v>
      </c>
      <c r="J48" s="6">
        <f>((J17*1000000)/J12)</f>
        <v>54268.120199316756</v>
      </c>
      <c r="K48" s="6">
        <f t="shared" ref="K48:O48" si="66">((K17*1000000)/K12)</f>
        <v>52404.997928537545</v>
      </c>
      <c r="L48" s="6">
        <f t="shared" si="66"/>
        <v>47130.915530718143</v>
      </c>
      <c r="M48" s="6">
        <f t="shared" si="66"/>
        <v>51154.963538483433</v>
      </c>
      <c r="N48" s="6">
        <f t="shared" si="66"/>
        <v>43409.169951470241</v>
      </c>
      <c r="O48" s="6">
        <f t="shared" si="66"/>
        <v>39567.224067482108</v>
      </c>
    </row>
    <row r="49" spans="1:16" x14ac:dyDescent="0.2">
      <c r="A49" t="s">
        <v>73</v>
      </c>
      <c r="B49" s="28">
        <f>B30/B32</f>
        <v>4.7272727272727275</v>
      </c>
      <c r="C49" s="28">
        <f t="shared" ref="C49:D49" si="67">C30/C32</f>
        <v>0.41362126245847175</v>
      </c>
      <c r="D49" s="28">
        <f t="shared" si="67"/>
        <v>0.34900079936051159</v>
      </c>
      <c r="E49" s="28"/>
      <c r="F49" s="28"/>
      <c r="G49" s="28"/>
      <c r="H49" s="28"/>
      <c r="I49" s="28">
        <f t="shared" ref="I49:O49" si="68">I30/I32</f>
        <v>-0.50667302192564345</v>
      </c>
      <c r="J49" s="28">
        <f t="shared" si="68"/>
        <v>-0.32224532224532226</v>
      </c>
      <c r="K49" s="28">
        <f t="shared" si="68"/>
        <v>0.14504459027427224</v>
      </c>
      <c r="L49" s="28">
        <f t="shared" si="68"/>
        <v>0.49091067234930852</v>
      </c>
      <c r="M49" s="28">
        <f t="shared" si="68"/>
        <v>0.85486280901928824</v>
      </c>
      <c r="N49" s="28">
        <f t="shared" si="68"/>
        <v>1.1288352808141726</v>
      </c>
      <c r="O49" s="28">
        <f t="shared" si="68"/>
        <v>0.47690177069937684</v>
      </c>
      <c r="P49" s="28">
        <f>AVERAGE(M49:O49)</f>
        <v>0.82019995351094588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main</vt:lpstr>
      <vt:lpstr>model</vt:lpstr>
      <vt:lpstr>autogr</vt:lpstr>
      <vt:lpstr>creditgr</vt:lpstr>
      <vt:lpstr>delivgr</vt:lpstr>
      <vt:lpstr>energygr</vt:lpstr>
      <vt:lpstr>gm</vt:lpstr>
      <vt:lpstr>leasegr</vt:lpstr>
      <vt:lpstr>om</vt:lpstr>
      <vt:lpstr>servicegr</vt:lpstr>
      <vt:lpstr>tax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2024-10-25T15:45:40Z</dcterms:created>
  <dcterms:modified xsi:type="dcterms:W3CDTF">2024-10-28T07:13:38Z</dcterms:modified>
</cp:coreProperties>
</file>