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chiorrabie/Documents/"/>
    </mc:Choice>
  </mc:AlternateContent>
  <xr:revisionPtr revIDLastSave="0" documentId="8_{0CAF5B46-ACC8-A64F-AA6C-08FA5D65897F}" xr6:coauthVersionLast="43" xr6:coauthVersionMax="43" xr10:uidLastSave="{00000000-0000-0000-0000-000000000000}"/>
  <bookViews>
    <workbookView xWindow="7660" yWindow="460" windowWidth="33500" windowHeight="23900" xr2:uid="{00000000-000D-0000-FFFF-FFFF00000000}"/>
  </bookViews>
  <sheets>
    <sheet name="Budget 2020" sheetId="6" r:id="rId1"/>
    <sheet name="Levy Budget 2020" sheetId="7" r:id="rId2"/>
    <sheet name="Reconcilliation Sheet" sheetId="5" r:id="rId3"/>
    <sheet name="Levy Schedule" sheetId="3" state="hidden" r:id="rId4"/>
    <sheet name="10 Year Maintenance Plan" sheetId="2" r:id="rId5"/>
    <sheet name="Costs 2019 Actual" sheetId="9" r:id="rId6"/>
    <sheet name="Reconcilliation Sheet 2020" sheetId="8" state="hidden" r:id="rId7"/>
  </sheets>
  <definedNames>
    <definedName name="_xlnm.Print_Area" localSheetId="5">'Costs 2019 Actual'!$I$10:$M$36</definedName>
    <definedName name="_xlnm.Print_Area" localSheetId="1">'Levy Budget 2020'!$A$1:$Q$1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6" l="1"/>
  <c r="E13" i="6"/>
  <c r="E9" i="6"/>
  <c r="E10" i="6"/>
  <c r="J41" i="5"/>
  <c r="J40" i="5"/>
  <c r="C41" i="5"/>
  <c r="C40" i="5"/>
  <c r="K35" i="5"/>
  <c r="K33" i="5"/>
  <c r="K29" i="5"/>
  <c r="K17" i="5"/>
  <c r="K10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P5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F2" i="5"/>
  <c r="B2" i="5"/>
  <c r="N39" i="5" l="1"/>
  <c r="H38" i="5" l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F32" i="6" l="1"/>
  <c r="G32" i="6"/>
  <c r="H32" i="6"/>
  <c r="E19" i="6"/>
  <c r="AB44" i="7"/>
  <c r="F68" i="6"/>
  <c r="Q54" i="6"/>
  <c r="P54" i="6"/>
  <c r="O54" i="6"/>
  <c r="N54" i="6"/>
  <c r="M54" i="6"/>
  <c r="L54" i="6"/>
  <c r="K54" i="6"/>
  <c r="J54" i="6"/>
  <c r="I54" i="6"/>
  <c r="H54" i="6"/>
  <c r="G54" i="6"/>
  <c r="F54" i="6"/>
  <c r="Q68" i="6"/>
  <c r="P68" i="6"/>
  <c r="O68" i="6"/>
  <c r="N68" i="6"/>
  <c r="M68" i="6"/>
  <c r="L68" i="6"/>
  <c r="K68" i="6"/>
  <c r="J68" i="6"/>
  <c r="I68" i="6"/>
  <c r="H68" i="6"/>
  <c r="G68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Q61" i="6"/>
  <c r="P61" i="6"/>
  <c r="O61" i="6"/>
  <c r="N61" i="6"/>
  <c r="M61" i="6"/>
  <c r="L61" i="6"/>
  <c r="K61" i="6"/>
  <c r="J61" i="6"/>
  <c r="I61" i="6"/>
  <c r="H61" i="6"/>
  <c r="G61" i="6"/>
  <c r="F61" i="6"/>
  <c r="E60" i="6"/>
  <c r="E54" i="6" s="1"/>
  <c r="E12" i="6" s="1"/>
  <c r="AD44" i="7" s="1"/>
  <c r="AD45" i="7" s="1"/>
  <c r="Q59" i="6"/>
  <c r="P59" i="6"/>
  <c r="O59" i="6"/>
  <c r="N59" i="6"/>
  <c r="M59" i="6"/>
  <c r="L59" i="6"/>
  <c r="K59" i="6"/>
  <c r="J59" i="6"/>
  <c r="I59" i="6"/>
  <c r="H59" i="6"/>
  <c r="G59" i="6"/>
  <c r="F59" i="6"/>
  <c r="F58" i="6"/>
  <c r="E49" i="6"/>
  <c r="P49" i="6" s="1"/>
  <c r="E48" i="6"/>
  <c r="N48" i="6" s="1"/>
  <c r="E44" i="6"/>
  <c r="O44" i="6" s="1"/>
  <c r="E43" i="6"/>
  <c r="O43" i="6" s="1"/>
  <c r="E41" i="6"/>
  <c r="O41" i="6" s="1"/>
  <c r="E40" i="6"/>
  <c r="P40" i="6" s="1"/>
  <c r="E50" i="6"/>
  <c r="O50" i="6" s="1"/>
  <c r="E35" i="6"/>
  <c r="M35" i="6" s="1"/>
  <c r="E51" i="6"/>
  <c r="F51" i="6" s="1"/>
  <c r="Q63" i="6"/>
  <c r="P63" i="6"/>
  <c r="O63" i="6"/>
  <c r="N63" i="6"/>
  <c r="M63" i="6"/>
  <c r="L63" i="6"/>
  <c r="K63" i="6"/>
  <c r="J63" i="6"/>
  <c r="I63" i="6"/>
  <c r="H63" i="6"/>
  <c r="G63" i="6"/>
  <c r="F63" i="6"/>
  <c r="E34" i="6"/>
  <c r="N34" i="6" s="1"/>
  <c r="E33" i="6"/>
  <c r="O33" i="6" s="1"/>
  <c r="E29" i="6"/>
  <c r="Q29" i="6" s="1"/>
  <c r="E47" i="6"/>
  <c r="K47" i="6" s="1"/>
  <c r="E36" i="6"/>
  <c r="N36" i="6" s="1"/>
  <c r="E31" i="6"/>
  <c r="Q31" i="6" s="1"/>
  <c r="E30" i="6"/>
  <c r="Q30" i="6" s="1"/>
  <c r="E28" i="6"/>
  <c r="O28" i="6" s="1"/>
  <c r="E25" i="6"/>
  <c r="E24" i="6"/>
  <c r="O35" i="6"/>
  <c r="P34" i="6"/>
  <c r="L33" i="6"/>
  <c r="Q32" i="6"/>
  <c r="P32" i="6"/>
  <c r="O32" i="6"/>
  <c r="N32" i="6"/>
  <c r="M32" i="6"/>
  <c r="L32" i="6"/>
  <c r="K32" i="6"/>
  <c r="J32" i="6"/>
  <c r="I32" i="6"/>
  <c r="P30" i="6"/>
  <c r="O30" i="6"/>
  <c r="N30" i="6"/>
  <c r="L30" i="6"/>
  <c r="K30" i="6"/>
  <c r="J30" i="6"/>
  <c r="H30" i="6"/>
  <c r="G30" i="6"/>
  <c r="F30" i="6"/>
  <c r="P29" i="6"/>
  <c r="O29" i="6"/>
  <c r="N29" i="6"/>
  <c r="L29" i="6"/>
  <c r="K29" i="6"/>
  <c r="J29" i="6"/>
  <c r="H29" i="6"/>
  <c r="G29" i="6"/>
  <c r="F29" i="6"/>
  <c r="E38" i="6"/>
  <c r="Q38" i="6" s="1"/>
  <c r="E37" i="6"/>
  <c r="Q37" i="6" s="1"/>
  <c r="E27" i="6"/>
  <c r="N27" i="6" s="1"/>
  <c r="E26" i="6"/>
  <c r="J27" i="6"/>
  <c r="F27" i="6"/>
  <c r="K25" i="9"/>
  <c r="K20" i="9"/>
  <c r="J20" i="9"/>
  <c r="K19" i="9"/>
  <c r="J19" i="9"/>
  <c r="K18" i="9"/>
  <c r="J18" i="9"/>
  <c r="K16" i="9"/>
  <c r="K36" i="9"/>
  <c r="K35" i="9"/>
  <c r="K34" i="9"/>
  <c r="K33" i="9"/>
  <c r="K32" i="9"/>
  <c r="K31" i="9"/>
  <c r="K30" i="9"/>
  <c r="K29" i="9"/>
  <c r="K28" i="9"/>
  <c r="K27" i="9"/>
  <c r="K26" i="9"/>
  <c r="K24" i="9"/>
  <c r="K23" i="9"/>
  <c r="K22" i="9"/>
  <c r="K21" i="9"/>
  <c r="K17" i="9"/>
  <c r="K15" i="9"/>
  <c r="K14" i="9"/>
  <c r="K13" i="9"/>
  <c r="K12" i="9"/>
  <c r="E53" i="6"/>
  <c r="Q53" i="6" s="1"/>
  <c r="E52" i="6"/>
  <c r="N52" i="6" s="1"/>
  <c r="P50" i="6"/>
  <c r="Q46" i="6"/>
  <c r="P46" i="6"/>
  <c r="O46" i="6"/>
  <c r="N46" i="6"/>
  <c r="M46" i="6"/>
  <c r="L46" i="6"/>
  <c r="K46" i="6"/>
  <c r="J46" i="6"/>
  <c r="I46" i="6"/>
  <c r="H46" i="6"/>
  <c r="G46" i="6"/>
  <c r="F46" i="6"/>
  <c r="Q10" i="6"/>
  <c r="E11" i="6"/>
  <c r="K35" i="8"/>
  <c r="K33" i="8"/>
  <c r="K29" i="8"/>
  <c r="K17" i="8"/>
  <c r="K10" i="8"/>
  <c r="F2" i="8"/>
  <c r="J41" i="8"/>
  <c r="J40" i="8"/>
  <c r="K39" i="8"/>
  <c r="H38" i="8"/>
  <c r="F38" i="8"/>
  <c r="D38" i="8"/>
  <c r="B38" i="8"/>
  <c r="H37" i="8"/>
  <c r="F37" i="8"/>
  <c r="D37" i="8"/>
  <c r="B37" i="8"/>
  <c r="H36" i="8"/>
  <c r="F36" i="8"/>
  <c r="D36" i="8"/>
  <c r="B36" i="8"/>
  <c r="H35" i="8"/>
  <c r="F35" i="8"/>
  <c r="D35" i="8"/>
  <c r="B35" i="8"/>
  <c r="H34" i="8"/>
  <c r="F34" i="8"/>
  <c r="D34" i="8"/>
  <c r="B34" i="8"/>
  <c r="H33" i="8"/>
  <c r="F33" i="8"/>
  <c r="D33" i="8"/>
  <c r="B33" i="8"/>
  <c r="H32" i="8"/>
  <c r="F32" i="8"/>
  <c r="D32" i="8"/>
  <c r="B32" i="8"/>
  <c r="H31" i="8"/>
  <c r="F31" i="8"/>
  <c r="D31" i="8"/>
  <c r="B31" i="8"/>
  <c r="H30" i="8"/>
  <c r="F30" i="8"/>
  <c r="D30" i="8"/>
  <c r="B30" i="8"/>
  <c r="H29" i="8"/>
  <c r="F29" i="8"/>
  <c r="D29" i="8"/>
  <c r="B29" i="8"/>
  <c r="H28" i="8"/>
  <c r="F28" i="8"/>
  <c r="D28" i="8"/>
  <c r="B28" i="8"/>
  <c r="H27" i="8"/>
  <c r="F27" i="8"/>
  <c r="D27" i="8"/>
  <c r="B27" i="8"/>
  <c r="H26" i="8"/>
  <c r="F26" i="8"/>
  <c r="D26" i="8"/>
  <c r="B26" i="8"/>
  <c r="H25" i="8"/>
  <c r="F25" i="8"/>
  <c r="D25" i="8"/>
  <c r="B25" i="8"/>
  <c r="H24" i="8"/>
  <c r="F24" i="8"/>
  <c r="D24" i="8"/>
  <c r="B24" i="8"/>
  <c r="H23" i="8"/>
  <c r="F23" i="8"/>
  <c r="D23" i="8"/>
  <c r="B23" i="8"/>
  <c r="H22" i="8"/>
  <c r="F22" i="8"/>
  <c r="D22" i="8"/>
  <c r="B22" i="8"/>
  <c r="H21" i="8"/>
  <c r="F21" i="8"/>
  <c r="D21" i="8"/>
  <c r="B21" i="8"/>
  <c r="H20" i="8"/>
  <c r="F20" i="8"/>
  <c r="D20" i="8"/>
  <c r="B20" i="8"/>
  <c r="H19" i="8"/>
  <c r="F19" i="8"/>
  <c r="D19" i="8"/>
  <c r="B19" i="8"/>
  <c r="H18" i="8"/>
  <c r="F18" i="8"/>
  <c r="D18" i="8"/>
  <c r="B18" i="8"/>
  <c r="H17" i="8"/>
  <c r="F17" i="8"/>
  <c r="D17" i="8"/>
  <c r="B17" i="8"/>
  <c r="H16" i="8"/>
  <c r="F16" i="8"/>
  <c r="D16" i="8"/>
  <c r="B16" i="8"/>
  <c r="H15" i="8"/>
  <c r="F15" i="8"/>
  <c r="D15" i="8"/>
  <c r="B15" i="8"/>
  <c r="H14" i="8"/>
  <c r="F14" i="8"/>
  <c r="D14" i="8"/>
  <c r="B14" i="8"/>
  <c r="H13" i="8"/>
  <c r="F13" i="8"/>
  <c r="D13" i="8"/>
  <c r="B13" i="8"/>
  <c r="H12" i="8"/>
  <c r="F12" i="8"/>
  <c r="D12" i="8"/>
  <c r="B12" i="8"/>
  <c r="H11" i="8"/>
  <c r="F11" i="8"/>
  <c r="D11" i="8"/>
  <c r="B11" i="8"/>
  <c r="H10" i="8"/>
  <c r="F10" i="8"/>
  <c r="D10" i="8"/>
  <c r="B10" i="8"/>
  <c r="H9" i="8"/>
  <c r="F9" i="8"/>
  <c r="D9" i="8"/>
  <c r="B9" i="8"/>
  <c r="H8" i="8"/>
  <c r="F8" i="8"/>
  <c r="D8" i="8"/>
  <c r="B8" i="8"/>
  <c r="H7" i="8"/>
  <c r="F7" i="8"/>
  <c r="D7" i="8"/>
  <c r="B7" i="8"/>
  <c r="H6" i="8"/>
  <c r="F6" i="8"/>
  <c r="D6" i="8"/>
  <c r="B6" i="8"/>
  <c r="H5" i="8"/>
  <c r="F5" i="8"/>
  <c r="D5" i="8"/>
  <c r="B5" i="8"/>
  <c r="AG42" i="7"/>
  <c r="AG36" i="7"/>
  <c r="AG34" i="7"/>
  <c r="AG30" i="7"/>
  <c r="AG18" i="7"/>
  <c r="AG11" i="7"/>
  <c r="AB45" i="7"/>
  <c r="AB41" i="7" s="1"/>
  <c r="C41" i="8" s="1"/>
  <c r="E42" i="6"/>
  <c r="N42" i="6" s="1"/>
  <c r="Q44" i="6"/>
  <c r="M44" i="6"/>
  <c r="L44" i="6"/>
  <c r="H44" i="6"/>
  <c r="F44" i="6"/>
  <c r="L43" i="6"/>
  <c r="P42" i="6"/>
  <c r="H42" i="6"/>
  <c r="Q65" i="6"/>
  <c r="P65" i="6"/>
  <c r="O65" i="6"/>
  <c r="N65" i="6"/>
  <c r="M65" i="6"/>
  <c r="L65" i="6"/>
  <c r="K65" i="6"/>
  <c r="J65" i="6"/>
  <c r="I65" i="6"/>
  <c r="H65" i="6"/>
  <c r="G65" i="6"/>
  <c r="Q62" i="6"/>
  <c r="P62" i="6"/>
  <c r="O62" i="6"/>
  <c r="N62" i="6"/>
  <c r="M62" i="6"/>
  <c r="L62" i="6"/>
  <c r="K62" i="6"/>
  <c r="J62" i="6"/>
  <c r="I62" i="6"/>
  <c r="H62" i="6"/>
  <c r="G62" i="6"/>
  <c r="Q58" i="6"/>
  <c r="P58" i="6"/>
  <c r="O58" i="6"/>
  <c r="N58" i="6"/>
  <c r="M58" i="6"/>
  <c r="L58" i="6"/>
  <c r="K58" i="6"/>
  <c r="J58" i="6"/>
  <c r="I58" i="6"/>
  <c r="H58" i="6"/>
  <c r="G58" i="6"/>
  <c r="Q57" i="6"/>
  <c r="P57" i="6"/>
  <c r="O57" i="6"/>
  <c r="N57" i="6"/>
  <c r="M57" i="6"/>
  <c r="L57" i="6"/>
  <c r="K57" i="6"/>
  <c r="J57" i="6"/>
  <c r="I57" i="6"/>
  <c r="H57" i="6"/>
  <c r="G57" i="6"/>
  <c r="Q56" i="6"/>
  <c r="P56" i="6"/>
  <c r="O56" i="6"/>
  <c r="N56" i="6"/>
  <c r="M56" i="6"/>
  <c r="L56" i="6"/>
  <c r="K56" i="6"/>
  <c r="J56" i="6"/>
  <c r="I56" i="6"/>
  <c r="H56" i="6"/>
  <c r="G56" i="6"/>
  <c r="F62" i="6"/>
  <c r="F57" i="6"/>
  <c r="F56" i="6"/>
  <c r="F65" i="6"/>
  <c r="Q55" i="6"/>
  <c r="P55" i="6"/>
  <c r="O55" i="6"/>
  <c r="N55" i="6"/>
  <c r="M55" i="6"/>
  <c r="L55" i="6"/>
  <c r="K55" i="6"/>
  <c r="J55" i="6"/>
  <c r="I55" i="6"/>
  <c r="H55" i="6"/>
  <c r="G55" i="6"/>
  <c r="F55" i="6"/>
  <c r="AC44" i="7"/>
  <c r="AC45" i="7" s="1"/>
  <c r="H49" i="7"/>
  <c r="T44" i="7"/>
  <c r="S44" i="7"/>
  <c r="AN42" i="7"/>
  <c r="Z42" i="7"/>
  <c r="M42" i="7"/>
  <c r="J42" i="7"/>
  <c r="G42" i="7"/>
  <c r="D42" i="7"/>
  <c r="C37" i="7"/>
  <c r="B76" i="6"/>
  <c r="B77" i="6" s="1"/>
  <c r="B54" i="6"/>
  <c r="B45" i="6"/>
  <c r="B39" i="6"/>
  <c r="B23" i="6"/>
  <c r="Q19" i="6"/>
  <c r="E17" i="6"/>
  <c r="N17" i="6" s="1"/>
  <c r="B14" i="6"/>
  <c r="Q8" i="6"/>
  <c r="B7" i="6"/>
  <c r="B21" i="6" s="1"/>
  <c r="J8" i="8" l="1"/>
  <c r="AB6" i="7"/>
  <c r="AB18" i="7"/>
  <c r="AB34" i="7"/>
  <c r="G7" i="8"/>
  <c r="AB7" i="7"/>
  <c r="AB23" i="7"/>
  <c r="AB35" i="7"/>
  <c r="AB39" i="7"/>
  <c r="AB10" i="7"/>
  <c r="AB26" i="7"/>
  <c r="AB38" i="7"/>
  <c r="B2" i="8"/>
  <c r="I27" i="8" s="1"/>
  <c r="AB15" i="7"/>
  <c r="AB27" i="7"/>
  <c r="AB8" i="7"/>
  <c r="AB12" i="7"/>
  <c r="AB16" i="7"/>
  <c r="AB20" i="7"/>
  <c r="AB24" i="7"/>
  <c r="AB28" i="7"/>
  <c r="AB32" i="7"/>
  <c r="AB36" i="7"/>
  <c r="AB40" i="7"/>
  <c r="C40" i="8" s="1"/>
  <c r="C6" i="8"/>
  <c r="C7" i="8"/>
  <c r="C21" i="8"/>
  <c r="C24" i="8"/>
  <c r="I32" i="8"/>
  <c r="I36" i="8"/>
  <c r="AB14" i="7"/>
  <c r="AB22" i="7"/>
  <c r="AB30" i="7"/>
  <c r="G23" i="8"/>
  <c r="G26" i="8"/>
  <c r="AB11" i="7"/>
  <c r="AB19" i="7"/>
  <c r="AB31" i="7"/>
  <c r="AB9" i="7"/>
  <c r="AB13" i="7"/>
  <c r="AB17" i="7"/>
  <c r="AB21" i="7"/>
  <c r="AB25" i="7"/>
  <c r="AB29" i="7"/>
  <c r="AB33" i="7"/>
  <c r="AB37" i="7"/>
  <c r="E7" i="8"/>
  <c r="E9" i="8"/>
  <c r="E13" i="8"/>
  <c r="E14" i="8"/>
  <c r="E18" i="8"/>
  <c r="E19" i="8"/>
  <c r="E23" i="8"/>
  <c r="E25" i="8"/>
  <c r="C29" i="8"/>
  <c r="C30" i="8"/>
  <c r="C34" i="8"/>
  <c r="C35" i="8"/>
  <c r="M10" i="6"/>
  <c r="I40" i="6"/>
  <c r="G36" i="6"/>
  <c r="L47" i="6"/>
  <c r="G31" i="6"/>
  <c r="F28" i="6"/>
  <c r="N47" i="6"/>
  <c r="J60" i="6"/>
  <c r="K60" i="6"/>
  <c r="K31" i="6"/>
  <c r="P33" i="6"/>
  <c r="H43" i="6"/>
  <c r="P43" i="6"/>
  <c r="I44" i="6"/>
  <c r="N44" i="6"/>
  <c r="O31" i="6"/>
  <c r="G34" i="6"/>
  <c r="J35" i="6"/>
  <c r="K36" i="6"/>
  <c r="F60" i="6"/>
  <c r="N60" i="6"/>
  <c r="M43" i="6"/>
  <c r="I35" i="6"/>
  <c r="I43" i="6"/>
  <c r="Q43" i="6"/>
  <c r="J44" i="6"/>
  <c r="P44" i="6"/>
  <c r="H33" i="6"/>
  <c r="K34" i="6"/>
  <c r="N35" i="6"/>
  <c r="O36" i="6"/>
  <c r="P35" i="6"/>
  <c r="G60" i="6"/>
  <c r="O60" i="6"/>
  <c r="M40" i="6"/>
  <c r="K42" i="6"/>
  <c r="J38" i="6"/>
  <c r="H31" i="6"/>
  <c r="L31" i="6"/>
  <c r="P31" i="6"/>
  <c r="I33" i="6"/>
  <c r="M33" i="6"/>
  <c r="Q33" i="6"/>
  <c r="Q40" i="6"/>
  <c r="L42" i="6"/>
  <c r="G48" i="6"/>
  <c r="N38" i="6"/>
  <c r="I31" i="6"/>
  <c r="M31" i="6"/>
  <c r="F33" i="6"/>
  <c r="J33" i="6"/>
  <c r="N33" i="6"/>
  <c r="Q51" i="6"/>
  <c r="H60" i="6"/>
  <c r="L60" i="6"/>
  <c r="P60" i="6"/>
  <c r="G42" i="6"/>
  <c r="O42" i="6"/>
  <c r="N37" i="6"/>
  <c r="F31" i="6"/>
  <c r="J31" i="6"/>
  <c r="N31" i="6"/>
  <c r="G33" i="6"/>
  <c r="K33" i="6"/>
  <c r="M51" i="6"/>
  <c r="I60" i="6"/>
  <c r="M60" i="6"/>
  <c r="Q60" i="6"/>
  <c r="N19" i="6"/>
  <c r="G27" i="6"/>
  <c r="H34" i="6"/>
  <c r="Q34" i="6"/>
  <c r="H36" i="6"/>
  <c r="F43" i="6"/>
  <c r="Q27" i="6"/>
  <c r="J28" i="6"/>
  <c r="M34" i="6"/>
  <c r="F35" i="6"/>
  <c r="K35" i="6"/>
  <c r="Q35" i="6"/>
  <c r="I36" i="6"/>
  <c r="M36" i="6"/>
  <c r="Q36" i="6"/>
  <c r="O27" i="6"/>
  <c r="G17" i="6"/>
  <c r="G19" i="6"/>
  <c r="G41" i="6"/>
  <c r="K27" i="6"/>
  <c r="P27" i="6"/>
  <c r="L34" i="6"/>
  <c r="L36" i="6"/>
  <c r="P36" i="6"/>
  <c r="H17" i="6"/>
  <c r="H19" i="6"/>
  <c r="K41" i="6"/>
  <c r="J43" i="6"/>
  <c r="N43" i="6"/>
  <c r="N41" i="6"/>
  <c r="H27" i="6"/>
  <c r="L27" i="6"/>
  <c r="F37" i="6"/>
  <c r="I34" i="6"/>
  <c r="O17" i="6"/>
  <c r="L19" i="6"/>
  <c r="G43" i="6"/>
  <c r="K43" i="6"/>
  <c r="G44" i="6"/>
  <c r="K44" i="6"/>
  <c r="I27" i="6"/>
  <c r="M27" i="6"/>
  <c r="F38" i="6"/>
  <c r="J37" i="6"/>
  <c r="N28" i="6"/>
  <c r="I29" i="6"/>
  <c r="M29" i="6"/>
  <c r="I30" i="6"/>
  <c r="M30" i="6"/>
  <c r="F34" i="6"/>
  <c r="J34" i="6"/>
  <c r="O34" i="6"/>
  <c r="G35" i="6"/>
  <c r="F36" i="6"/>
  <c r="J36" i="6"/>
  <c r="I51" i="6"/>
  <c r="P17" i="6"/>
  <c r="F40" i="6"/>
  <c r="J40" i="6"/>
  <c r="N40" i="6"/>
  <c r="G47" i="6"/>
  <c r="O47" i="6"/>
  <c r="H48" i="6"/>
  <c r="G38" i="6"/>
  <c r="K38" i="6"/>
  <c r="O38" i="6"/>
  <c r="G37" i="6"/>
  <c r="K37" i="6"/>
  <c r="O37" i="6"/>
  <c r="G28" i="6"/>
  <c r="K28" i="6"/>
  <c r="P28" i="6"/>
  <c r="P51" i="6"/>
  <c r="L51" i="6"/>
  <c r="H51" i="6"/>
  <c r="K17" i="6"/>
  <c r="J19" i="6"/>
  <c r="O19" i="6"/>
  <c r="G40" i="6"/>
  <c r="K40" i="6"/>
  <c r="K39" i="6" s="1"/>
  <c r="O40" i="6"/>
  <c r="H47" i="6"/>
  <c r="P47" i="6"/>
  <c r="L48" i="6"/>
  <c r="H38" i="6"/>
  <c r="L38" i="6"/>
  <c r="P38" i="6"/>
  <c r="H37" i="6"/>
  <c r="L37" i="6"/>
  <c r="P37" i="6"/>
  <c r="H28" i="6"/>
  <c r="L28" i="6"/>
  <c r="Q28" i="6"/>
  <c r="O51" i="6"/>
  <c r="K51" i="6"/>
  <c r="G51" i="6"/>
  <c r="L17" i="6"/>
  <c r="F19" i="6"/>
  <c r="K19" i="6"/>
  <c r="P19" i="6"/>
  <c r="H40" i="6"/>
  <c r="L40" i="6"/>
  <c r="Q48" i="6"/>
  <c r="I38" i="6"/>
  <c r="M38" i="6"/>
  <c r="I37" i="6"/>
  <c r="M37" i="6"/>
  <c r="I28" i="6"/>
  <c r="M28" i="6"/>
  <c r="N51" i="6"/>
  <c r="J51" i="6"/>
  <c r="K52" i="6"/>
  <c r="H35" i="6"/>
  <c r="L35" i="6"/>
  <c r="O53" i="6"/>
  <c r="L52" i="6"/>
  <c r="K53" i="6"/>
  <c r="J48" i="6"/>
  <c r="O48" i="6"/>
  <c r="H50" i="6"/>
  <c r="G52" i="6"/>
  <c r="O52" i="6"/>
  <c r="G53" i="6"/>
  <c r="L53" i="6"/>
  <c r="J53" i="6"/>
  <c r="F53" i="6"/>
  <c r="P53" i="6"/>
  <c r="F48" i="6"/>
  <c r="K48" i="6"/>
  <c r="P48" i="6"/>
  <c r="L50" i="6"/>
  <c r="H52" i="6"/>
  <c r="P52" i="6"/>
  <c r="H53" i="6"/>
  <c r="N53" i="6"/>
  <c r="J49" i="6"/>
  <c r="I50" i="6"/>
  <c r="Q50" i="6"/>
  <c r="I47" i="6"/>
  <c r="M47" i="6"/>
  <c r="Q47" i="6"/>
  <c r="G49" i="6"/>
  <c r="K49" i="6"/>
  <c r="O49" i="6"/>
  <c r="F50" i="6"/>
  <c r="J50" i="6"/>
  <c r="N50" i="6"/>
  <c r="I52" i="6"/>
  <c r="M52" i="6"/>
  <c r="Q52" i="6"/>
  <c r="I49" i="6"/>
  <c r="M49" i="6"/>
  <c r="Q49" i="6"/>
  <c r="F49" i="6"/>
  <c r="N49" i="6"/>
  <c r="M50" i="6"/>
  <c r="F47" i="6"/>
  <c r="J47" i="6"/>
  <c r="I48" i="6"/>
  <c r="M48" i="6"/>
  <c r="H49" i="6"/>
  <c r="L49" i="6"/>
  <c r="G50" i="6"/>
  <c r="K50" i="6"/>
  <c r="F52" i="6"/>
  <c r="J52" i="6"/>
  <c r="I53" i="6"/>
  <c r="M53" i="6"/>
  <c r="Q12" i="6"/>
  <c r="M12" i="6"/>
  <c r="I12" i="6"/>
  <c r="K12" i="6"/>
  <c r="J12" i="6"/>
  <c r="P12" i="6"/>
  <c r="L12" i="6"/>
  <c r="H12" i="6"/>
  <c r="O12" i="6"/>
  <c r="G12" i="6"/>
  <c r="N12" i="6"/>
  <c r="F12" i="6"/>
  <c r="J16" i="8"/>
  <c r="M16" i="8" s="1"/>
  <c r="M8" i="8"/>
  <c r="J11" i="8"/>
  <c r="J19" i="8"/>
  <c r="M19" i="8" s="1"/>
  <c r="J5" i="8"/>
  <c r="M5" i="8" s="1"/>
  <c r="C11" i="8"/>
  <c r="J12" i="8"/>
  <c r="M12" i="8" s="1"/>
  <c r="C19" i="8"/>
  <c r="M11" i="8"/>
  <c r="C16" i="8"/>
  <c r="J7" i="8"/>
  <c r="M7" i="8" s="1"/>
  <c r="J9" i="8"/>
  <c r="M9" i="8" s="1"/>
  <c r="C12" i="8"/>
  <c r="J15" i="8"/>
  <c r="M15" i="8" s="1"/>
  <c r="G38" i="8"/>
  <c r="J13" i="8"/>
  <c r="M13" i="8" s="1"/>
  <c r="J17" i="8"/>
  <c r="M17" i="8" s="1"/>
  <c r="C5" i="8"/>
  <c r="C9" i="8"/>
  <c r="J10" i="8"/>
  <c r="M10" i="8" s="1"/>
  <c r="J6" i="8"/>
  <c r="M6" i="8" s="1"/>
  <c r="J14" i="8"/>
  <c r="M14" i="8" s="1"/>
  <c r="J18" i="8"/>
  <c r="M18" i="8" s="1"/>
  <c r="J20" i="8"/>
  <c r="M20" i="8" s="1"/>
  <c r="J21" i="8"/>
  <c r="M21" i="8" s="1"/>
  <c r="J22" i="8"/>
  <c r="M22" i="8" s="1"/>
  <c r="J23" i="8"/>
  <c r="M23" i="8" s="1"/>
  <c r="J24" i="8"/>
  <c r="M24" i="8" s="1"/>
  <c r="J25" i="8"/>
  <c r="M25" i="8" s="1"/>
  <c r="J26" i="8"/>
  <c r="M26" i="8" s="1"/>
  <c r="J27" i="8"/>
  <c r="M27" i="8" s="1"/>
  <c r="J28" i="8"/>
  <c r="M28" i="8" s="1"/>
  <c r="J29" i="8"/>
  <c r="M29" i="8" s="1"/>
  <c r="J30" i="8"/>
  <c r="M30" i="8" s="1"/>
  <c r="J31" i="8"/>
  <c r="M31" i="8" s="1"/>
  <c r="J32" i="8"/>
  <c r="M32" i="8" s="1"/>
  <c r="J33" i="8"/>
  <c r="M33" i="8" s="1"/>
  <c r="J34" i="8"/>
  <c r="M34" i="8" s="1"/>
  <c r="J35" i="8"/>
  <c r="M35" i="8" s="1"/>
  <c r="J36" i="8"/>
  <c r="M36" i="8" s="1"/>
  <c r="J37" i="8"/>
  <c r="M37" i="8" s="1"/>
  <c r="J38" i="8"/>
  <c r="M38" i="8" s="1"/>
  <c r="H41" i="6"/>
  <c r="P41" i="6"/>
  <c r="P39" i="6" s="1"/>
  <c r="I41" i="6"/>
  <c r="M41" i="6"/>
  <c r="Q41" i="6"/>
  <c r="I42" i="6"/>
  <c r="M42" i="6"/>
  <c r="Q42" i="6"/>
  <c r="L41" i="6"/>
  <c r="L39" i="6" s="1"/>
  <c r="F41" i="6"/>
  <c r="J41" i="6"/>
  <c r="F42" i="6"/>
  <c r="J42" i="6"/>
  <c r="E45" i="6"/>
  <c r="E39" i="6"/>
  <c r="B70" i="6"/>
  <c r="B72" i="6" s="1"/>
  <c r="B73" i="6" s="1"/>
  <c r="C42" i="7"/>
  <c r="C44" i="7" s="1"/>
  <c r="P8" i="6"/>
  <c r="L8" i="6"/>
  <c r="H8" i="6"/>
  <c r="O8" i="6"/>
  <c r="G8" i="6"/>
  <c r="N8" i="6"/>
  <c r="F8" i="6"/>
  <c r="K8" i="6"/>
  <c r="J8" i="6"/>
  <c r="I8" i="6"/>
  <c r="P10" i="6"/>
  <c r="L10" i="6"/>
  <c r="H10" i="6"/>
  <c r="K10" i="6"/>
  <c r="J10" i="6"/>
  <c r="O10" i="6"/>
  <c r="G10" i="6"/>
  <c r="N10" i="6"/>
  <c r="F10" i="6"/>
  <c r="M8" i="6"/>
  <c r="I10" i="6"/>
  <c r="M17" i="6"/>
  <c r="I17" i="6"/>
  <c r="Q17" i="6"/>
  <c r="F17" i="6"/>
  <c r="J17" i="6"/>
  <c r="I19" i="6"/>
  <c r="M19" i="6"/>
  <c r="C38" i="8" l="1"/>
  <c r="C33" i="8"/>
  <c r="E27" i="8"/>
  <c r="E22" i="8"/>
  <c r="E17" i="8"/>
  <c r="E11" i="8"/>
  <c r="E6" i="8"/>
  <c r="G14" i="8"/>
  <c r="I29" i="8"/>
  <c r="C20" i="8"/>
  <c r="G19" i="8"/>
  <c r="I24" i="8"/>
  <c r="C8" i="8"/>
  <c r="C37" i="8"/>
  <c r="C31" i="8"/>
  <c r="E26" i="8"/>
  <c r="E21" i="8"/>
  <c r="E15" i="8"/>
  <c r="E10" i="8"/>
  <c r="E5" i="8"/>
  <c r="E34" i="8"/>
  <c r="G11" i="8"/>
  <c r="I37" i="8"/>
  <c r="I28" i="8"/>
  <c r="C14" i="8"/>
  <c r="I8" i="8"/>
  <c r="G6" i="8"/>
  <c r="G37" i="8"/>
  <c r="I20" i="8"/>
  <c r="E38" i="8"/>
  <c r="G33" i="8"/>
  <c r="I16" i="8"/>
  <c r="E29" i="8"/>
  <c r="I33" i="8"/>
  <c r="C25" i="8"/>
  <c r="C15" i="8"/>
  <c r="E31" i="8"/>
  <c r="G29" i="8"/>
  <c r="I12" i="8"/>
  <c r="G18" i="8"/>
  <c r="E28" i="8"/>
  <c r="G16" i="8"/>
  <c r="G36" i="8"/>
  <c r="G32" i="8"/>
  <c r="G28" i="8"/>
  <c r="I23" i="8"/>
  <c r="I19" i="8"/>
  <c r="I15" i="8"/>
  <c r="I11" i="8"/>
  <c r="I7" i="8"/>
  <c r="E37" i="8"/>
  <c r="G27" i="8"/>
  <c r="G15" i="8"/>
  <c r="G20" i="8"/>
  <c r="G8" i="8"/>
  <c r="I35" i="8"/>
  <c r="I31" i="8"/>
  <c r="C27" i="8"/>
  <c r="C23" i="8"/>
  <c r="C18" i="8"/>
  <c r="C13" i="8"/>
  <c r="E36" i="8"/>
  <c r="G25" i="8"/>
  <c r="G13" i="8"/>
  <c r="G35" i="8"/>
  <c r="G31" i="8"/>
  <c r="I26" i="8"/>
  <c r="I22" i="8"/>
  <c r="I18" i="8"/>
  <c r="I14" i="8"/>
  <c r="I10" i="8"/>
  <c r="I6" i="8"/>
  <c r="E35" i="8"/>
  <c r="G24" i="8"/>
  <c r="G12" i="8"/>
  <c r="C36" i="8"/>
  <c r="C32" i="8"/>
  <c r="C28" i="8"/>
  <c r="E24" i="8"/>
  <c r="E20" i="8"/>
  <c r="E16" i="8"/>
  <c r="E12" i="8"/>
  <c r="E8" i="8"/>
  <c r="E30" i="8"/>
  <c r="G17" i="8"/>
  <c r="G5" i="8"/>
  <c r="I38" i="8"/>
  <c r="I34" i="8"/>
  <c r="I30" i="8"/>
  <c r="C26" i="8"/>
  <c r="C22" i="8"/>
  <c r="C17" i="8"/>
  <c r="C10" i="8"/>
  <c r="E33" i="8"/>
  <c r="G22" i="8"/>
  <c r="G9" i="8"/>
  <c r="G34" i="8"/>
  <c r="G30" i="8"/>
  <c r="I25" i="8"/>
  <c r="I21" i="8"/>
  <c r="I17" i="8"/>
  <c r="I13" i="8"/>
  <c r="I9" i="8"/>
  <c r="I5" i="8"/>
  <c r="E32" i="8"/>
  <c r="G21" i="8"/>
  <c r="G10" i="8"/>
  <c r="N45" i="6"/>
  <c r="O39" i="6"/>
  <c r="H39" i="6"/>
  <c r="I39" i="6"/>
  <c r="G39" i="6"/>
  <c r="N39" i="6"/>
  <c r="F39" i="6"/>
  <c r="J39" i="6"/>
  <c r="M39" i="6"/>
  <c r="O45" i="6"/>
  <c r="P45" i="6"/>
  <c r="K45" i="6"/>
  <c r="L45" i="6"/>
  <c r="J45" i="6"/>
  <c r="H45" i="6"/>
  <c r="G45" i="6"/>
  <c r="F45" i="6"/>
  <c r="Q45" i="6"/>
  <c r="M45" i="6"/>
  <c r="I45" i="6"/>
  <c r="J39" i="8"/>
  <c r="J42" i="8" s="1"/>
  <c r="M39" i="8"/>
  <c r="Q39" i="6"/>
  <c r="H41" i="7"/>
  <c r="P41" i="7" s="1"/>
  <c r="E38" i="7"/>
  <c r="H36" i="7"/>
  <c r="H34" i="7"/>
  <c r="E32" i="7"/>
  <c r="H29" i="7"/>
  <c r="E27" i="7"/>
  <c r="H24" i="7"/>
  <c r="H22" i="7"/>
  <c r="E20" i="7"/>
  <c r="E19" i="7"/>
  <c r="E17" i="7"/>
  <c r="E15" i="7"/>
  <c r="E13" i="7"/>
  <c r="E11" i="7"/>
  <c r="E8" i="7"/>
  <c r="H37" i="7"/>
  <c r="E36" i="7"/>
  <c r="E34" i="7"/>
  <c r="E31" i="7"/>
  <c r="E29" i="7"/>
  <c r="E26" i="7"/>
  <c r="E24" i="7"/>
  <c r="E22" i="7"/>
  <c r="N19" i="7"/>
  <c r="H18" i="7"/>
  <c r="H16" i="7"/>
  <c r="H14" i="7"/>
  <c r="H12" i="7"/>
  <c r="E10" i="7"/>
  <c r="E39" i="7"/>
  <c r="E35" i="7"/>
  <c r="E30" i="7"/>
  <c r="N24" i="7"/>
  <c r="H20" i="7"/>
  <c r="H17" i="7"/>
  <c r="H13" i="7"/>
  <c r="H8" i="7"/>
  <c r="H7" i="7"/>
  <c r="E6" i="7"/>
  <c r="H33" i="7"/>
  <c r="E28" i="7"/>
  <c r="H23" i="7"/>
  <c r="K19" i="7"/>
  <c r="E12" i="7"/>
  <c r="E7" i="7"/>
  <c r="E16" i="7"/>
  <c r="H40" i="7"/>
  <c r="P40" i="7" s="1"/>
  <c r="E33" i="7"/>
  <c r="E23" i="7"/>
  <c r="H15" i="7"/>
  <c r="E21" i="7"/>
  <c r="E18" i="7"/>
  <c r="H27" i="7"/>
  <c r="H19" i="7"/>
  <c r="H11" i="7"/>
  <c r="K6" i="7"/>
  <c r="E14" i="7"/>
  <c r="H6" i="7"/>
  <c r="E9" i="7"/>
  <c r="H35" i="7"/>
  <c r="H30" i="7"/>
  <c r="E25" i="7"/>
  <c r="E37" i="7"/>
  <c r="C39" i="8" l="1"/>
  <c r="C42" i="8" s="1"/>
  <c r="E39" i="8"/>
  <c r="G39" i="8"/>
  <c r="I39" i="8"/>
  <c r="P39" i="7"/>
  <c r="P28" i="7"/>
  <c r="P10" i="7"/>
  <c r="P26" i="7"/>
  <c r="P38" i="7"/>
  <c r="P25" i="7"/>
  <c r="P27" i="7"/>
  <c r="P18" i="7"/>
  <c r="P12" i="7"/>
  <c r="P32" i="7"/>
  <c r="AD41" i="7"/>
  <c r="AE41" i="7" s="1"/>
  <c r="AH41" i="7" s="1"/>
  <c r="AC41" i="7"/>
  <c r="P16" i="7"/>
  <c r="P33" i="7"/>
  <c r="P29" i="7"/>
  <c r="P37" i="7"/>
  <c r="P9" i="7"/>
  <c r="P21" i="7"/>
  <c r="AD40" i="7"/>
  <c r="AE40" i="7" s="1"/>
  <c r="AH40" i="7" s="1"/>
  <c r="AC40" i="7"/>
  <c r="P6" i="7"/>
  <c r="P35" i="7"/>
  <c r="P22" i="7"/>
  <c r="P31" i="7"/>
  <c r="P8" i="7"/>
  <c r="T37" i="7"/>
  <c r="Q37" i="7"/>
  <c r="S37" i="7"/>
  <c r="V37" i="7" s="1"/>
  <c r="Q21" i="7"/>
  <c r="T21" i="7"/>
  <c r="S21" i="7"/>
  <c r="V21" i="7" s="1"/>
  <c r="Q6" i="7"/>
  <c r="T6" i="7"/>
  <c r="S6" i="7"/>
  <c r="T22" i="7"/>
  <c r="S22" i="7"/>
  <c r="V22" i="7" s="1"/>
  <c r="Q22" i="7"/>
  <c r="S8" i="7"/>
  <c r="Q8" i="7"/>
  <c r="T8" i="7"/>
  <c r="T25" i="7"/>
  <c r="S25" i="7"/>
  <c r="V25" i="7" s="1"/>
  <c r="P24" i="7"/>
  <c r="P34" i="7"/>
  <c r="P19" i="7"/>
  <c r="S27" i="7"/>
  <c r="V27" i="7" s="1"/>
  <c r="Q27" i="7"/>
  <c r="T27" i="7"/>
  <c r="P14" i="7"/>
  <c r="P23" i="7"/>
  <c r="P7" i="7"/>
  <c r="Q28" i="7"/>
  <c r="S28" i="7"/>
  <c r="T28" i="7"/>
  <c r="T10" i="7"/>
  <c r="S10" i="7"/>
  <c r="Q10" i="7"/>
  <c r="T26" i="7"/>
  <c r="S26" i="7"/>
  <c r="V26" i="7" s="1"/>
  <c r="Q26" i="7"/>
  <c r="P36" i="7"/>
  <c r="P13" i="7"/>
  <c r="P20" i="7"/>
  <c r="T38" i="7"/>
  <c r="S38" i="7"/>
  <c r="Q38" i="7"/>
  <c r="Q9" i="7"/>
  <c r="T9" i="7"/>
  <c r="S9" i="7"/>
  <c r="Q40" i="7"/>
  <c r="T40" i="7"/>
  <c r="S40" i="7"/>
  <c r="Q35" i="7"/>
  <c r="T35" i="7"/>
  <c r="S35" i="7"/>
  <c r="V35" i="7" s="1"/>
  <c r="T31" i="7"/>
  <c r="S31" i="7"/>
  <c r="Q31" i="7"/>
  <c r="P17" i="7"/>
  <c r="T16" i="7"/>
  <c r="Q16" i="7"/>
  <c r="S16" i="7"/>
  <c r="V16" i="7" s="1"/>
  <c r="S39" i="7"/>
  <c r="V39" i="7" s="1"/>
  <c r="Q39" i="7"/>
  <c r="T39" i="7"/>
  <c r="P11" i="7"/>
  <c r="T18" i="7"/>
  <c r="S18" i="7"/>
  <c r="Q18" i="7"/>
  <c r="Q33" i="7"/>
  <c r="S33" i="7"/>
  <c r="V33" i="7" s="1"/>
  <c r="T33" i="7"/>
  <c r="T12" i="7"/>
  <c r="Q12" i="7"/>
  <c r="S12" i="7"/>
  <c r="V12" i="7" s="1"/>
  <c r="P30" i="7"/>
  <c r="T29" i="7"/>
  <c r="S29" i="7"/>
  <c r="V29" i="7" s="1"/>
  <c r="Q29" i="7"/>
  <c r="P15" i="7"/>
  <c r="T32" i="7"/>
  <c r="S32" i="7"/>
  <c r="V32" i="7" s="1"/>
  <c r="Q32" i="7"/>
  <c r="T41" i="7"/>
  <c r="S41" i="7"/>
  <c r="Q41" i="7"/>
  <c r="E41" i="8" l="1"/>
  <c r="M13" i="6"/>
  <c r="P13" i="6"/>
  <c r="K13" i="6"/>
  <c r="F13" i="6"/>
  <c r="O13" i="6"/>
  <c r="I13" i="6"/>
  <c r="L13" i="6"/>
  <c r="G13" i="6"/>
  <c r="J13" i="6"/>
  <c r="Q13" i="6"/>
  <c r="H13" i="6"/>
  <c r="N13" i="6"/>
  <c r="O9" i="6"/>
  <c r="O7" i="6" s="1"/>
  <c r="Q9" i="6"/>
  <c r="Q7" i="6" s="1"/>
  <c r="P9" i="6"/>
  <c r="P7" i="6" s="1"/>
  <c r="E7" i="6"/>
  <c r="N9" i="6"/>
  <c r="I9" i="6"/>
  <c r="I7" i="6" s="1"/>
  <c r="H9" i="6"/>
  <c r="F9" i="6"/>
  <c r="F7" i="6" s="1"/>
  <c r="G9" i="6"/>
  <c r="J9" i="6"/>
  <c r="J7" i="6" s="1"/>
  <c r="L9" i="6"/>
  <c r="L7" i="6" s="1"/>
  <c r="K9" i="6"/>
  <c r="M9" i="6"/>
  <c r="M7" i="6" s="1"/>
  <c r="C43" i="8"/>
  <c r="AC17" i="7"/>
  <c r="AD17" i="7"/>
  <c r="AD20" i="7"/>
  <c r="AC20" i="7"/>
  <c r="AC24" i="7"/>
  <c r="AD24" i="7"/>
  <c r="AC23" i="7"/>
  <c r="AD23" i="7"/>
  <c r="AC31" i="7"/>
  <c r="AD31" i="7"/>
  <c r="AD35" i="7"/>
  <c r="AC35" i="7"/>
  <c r="AC9" i="7"/>
  <c r="AD9" i="7"/>
  <c r="AC29" i="7"/>
  <c r="AD29" i="7"/>
  <c r="AC16" i="7"/>
  <c r="AD16" i="7"/>
  <c r="AC32" i="7"/>
  <c r="AD32" i="7"/>
  <c r="AC18" i="7"/>
  <c r="AD18" i="7"/>
  <c r="AC25" i="7"/>
  <c r="AD25" i="7"/>
  <c r="AC26" i="7"/>
  <c r="AD26" i="7"/>
  <c r="AC28" i="7"/>
  <c r="AD28" i="7"/>
  <c r="P42" i="7"/>
  <c r="AC7" i="7"/>
  <c r="AD7" i="7"/>
  <c r="AD13" i="7"/>
  <c r="AC13" i="7"/>
  <c r="AD36" i="7"/>
  <c r="AC36" i="7"/>
  <c r="AD14" i="7"/>
  <c r="AC14" i="7"/>
  <c r="AC19" i="7"/>
  <c r="AD19" i="7"/>
  <c r="AB42" i="7"/>
  <c r="AD11" i="7"/>
  <c r="AC11" i="7"/>
  <c r="AC15" i="7"/>
  <c r="AD15" i="7"/>
  <c r="AD30" i="7"/>
  <c r="AC30" i="7"/>
  <c r="AC34" i="7"/>
  <c r="AD34" i="7"/>
  <c r="Q25" i="7"/>
  <c r="AC8" i="7"/>
  <c r="AD8" i="7"/>
  <c r="AC22" i="7"/>
  <c r="AD22" i="7"/>
  <c r="AC6" i="7"/>
  <c r="AD6" i="7"/>
  <c r="AC21" i="7"/>
  <c r="AD21" i="7"/>
  <c r="AD37" i="7"/>
  <c r="AC37" i="7"/>
  <c r="AD33" i="7"/>
  <c r="AC33" i="7"/>
  <c r="AD12" i="7"/>
  <c r="AC12" i="7"/>
  <c r="AD27" i="7"/>
  <c r="AC27" i="7"/>
  <c r="AD38" i="7"/>
  <c r="AC38" i="7"/>
  <c r="AC10" i="7"/>
  <c r="AD10" i="7"/>
  <c r="AC39" i="7"/>
  <c r="AD39" i="7"/>
  <c r="X35" i="7"/>
  <c r="AL35" i="7" s="1"/>
  <c r="X26" i="7"/>
  <c r="AL26" i="7" s="1"/>
  <c r="S24" i="7"/>
  <c r="V24" i="7" s="1"/>
  <c r="Q24" i="7"/>
  <c r="T24" i="7"/>
  <c r="X32" i="7"/>
  <c r="AK32" i="7" s="1"/>
  <c r="AK33" i="7"/>
  <c r="X16" i="7"/>
  <c r="AL16" i="7" s="1"/>
  <c r="S13" i="7"/>
  <c r="V13" i="7" s="1"/>
  <c r="Q13" i="7"/>
  <c r="T13" i="7"/>
  <c r="Q23" i="7"/>
  <c r="S23" i="7"/>
  <c r="T23" i="7"/>
  <c r="X27" i="7"/>
  <c r="AL27" i="7"/>
  <c r="X25" i="7"/>
  <c r="AK25" i="7" s="1"/>
  <c r="X37" i="7"/>
  <c r="AL37" i="7" s="1"/>
  <c r="X33" i="7"/>
  <c r="AL33" i="7"/>
  <c r="S17" i="7"/>
  <c r="V17" i="7" s="1"/>
  <c r="Q17" i="7"/>
  <c r="T17" i="7"/>
  <c r="S20" i="7"/>
  <c r="V20" i="7" s="1"/>
  <c r="Q20" i="7"/>
  <c r="T20" i="7"/>
  <c r="AK27" i="7"/>
  <c r="X29" i="7"/>
  <c r="AK29" i="7" s="1"/>
  <c r="S11" i="7"/>
  <c r="Q11" i="7"/>
  <c r="T11" i="7"/>
  <c r="V41" i="7"/>
  <c r="AK16" i="7"/>
  <c r="V31" i="7"/>
  <c r="V9" i="7"/>
  <c r="V38" i="7"/>
  <c r="T36" i="7"/>
  <c r="S36" i="7"/>
  <c r="Q36" i="7"/>
  <c r="V28" i="7"/>
  <c r="T14" i="7"/>
  <c r="S14" i="7"/>
  <c r="V14" i="7" s="1"/>
  <c r="Q14" i="7"/>
  <c r="T19" i="7"/>
  <c r="Q19" i="7"/>
  <c r="S19" i="7"/>
  <c r="V8" i="7"/>
  <c r="V6" i="7"/>
  <c r="X21" i="7"/>
  <c r="AK21" i="7" s="1"/>
  <c r="AL21" i="7"/>
  <c r="AK37" i="7"/>
  <c r="X12" i="7"/>
  <c r="AK12" i="7" s="1"/>
  <c r="X39" i="7"/>
  <c r="AK39" i="7" s="1"/>
  <c r="AL39" i="7"/>
  <c r="T7" i="7"/>
  <c r="T42" i="7" s="1"/>
  <c r="S7" i="7"/>
  <c r="Q7" i="7"/>
  <c r="X22" i="7"/>
  <c r="AL22" i="7" s="1"/>
  <c r="S15" i="7"/>
  <c r="V15" i="7" s="1"/>
  <c r="Q15" i="7"/>
  <c r="T15" i="7"/>
  <c r="Q30" i="7"/>
  <c r="T30" i="7"/>
  <c r="S30" i="7"/>
  <c r="V18" i="7"/>
  <c r="V40" i="7"/>
  <c r="AK26" i="7"/>
  <c r="V10" i="7"/>
  <c r="T34" i="7"/>
  <c r="S34" i="7"/>
  <c r="V34" i="7" s="1"/>
  <c r="Q34" i="7"/>
  <c r="H7" i="6" l="1"/>
  <c r="K7" i="6"/>
  <c r="G7" i="6"/>
  <c r="N7" i="6"/>
  <c r="N26" i="8"/>
  <c r="AE27" i="7"/>
  <c r="N14" i="8"/>
  <c r="AE15" i="7"/>
  <c r="AE25" i="7"/>
  <c r="N24" i="8"/>
  <c r="N5" i="8"/>
  <c r="AE6" i="7"/>
  <c r="N19" i="8"/>
  <c r="AE20" i="7"/>
  <c r="N32" i="8"/>
  <c r="AE33" i="7"/>
  <c r="N33" i="8"/>
  <c r="AE34" i="7"/>
  <c r="N13" i="8"/>
  <c r="AE14" i="7"/>
  <c r="N27" i="8"/>
  <c r="AE28" i="7"/>
  <c r="N31" i="8"/>
  <c r="AE32" i="7"/>
  <c r="N22" i="8"/>
  <c r="AE23" i="7"/>
  <c r="N38" i="8"/>
  <c r="AE39" i="7"/>
  <c r="N7" i="8"/>
  <c r="AE8" i="7"/>
  <c r="N18" i="8"/>
  <c r="AE19" i="7"/>
  <c r="N6" i="8"/>
  <c r="AE7" i="7"/>
  <c r="N34" i="8"/>
  <c r="AE35" i="7"/>
  <c r="N37" i="8"/>
  <c r="AE38" i="7"/>
  <c r="N11" i="8"/>
  <c r="AE12" i="7"/>
  <c r="AE37" i="7"/>
  <c r="N36" i="8"/>
  <c r="N35" i="8"/>
  <c r="AE36" i="7"/>
  <c r="N25" i="8"/>
  <c r="AE26" i="7"/>
  <c r="N17" i="8"/>
  <c r="AE18" i="7"/>
  <c r="N15" i="8"/>
  <c r="AE16" i="7"/>
  <c r="N8" i="8"/>
  <c r="AE9" i="7"/>
  <c r="N30" i="8"/>
  <c r="AE31" i="7"/>
  <c r="N23" i="8"/>
  <c r="AE24" i="7"/>
  <c r="AE17" i="7"/>
  <c r="N16" i="8"/>
  <c r="AE13" i="7"/>
  <c r="N12" i="8"/>
  <c r="N28" i="8"/>
  <c r="AE29" i="7"/>
  <c r="N9" i="8"/>
  <c r="AE10" i="7"/>
  <c r="N20" i="8"/>
  <c r="AE21" i="7"/>
  <c r="N21" i="8"/>
  <c r="AE22" i="7"/>
  <c r="N29" i="8"/>
  <c r="AE30" i="7"/>
  <c r="N10" i="8"/>
  <c r="AE11" i="7"/>
  <c r="AK35" i="7"/>
  <c r="AL29" i="7"/>
  <c r="V23" i="7"/>
  <c r="AL23" i="7" s="1"/>
  <c r="AL32" i="7"/>
  <c r="AC42" i="7"/>
  <c r="AD42" i="7"/>
  <c r="AK22" i="7"/>
  <c r="V30" i="7"/>
  <c r="AL30" i="7" s="1"/>
  <c r="V7" i="7"/>
  <c r="X34" i="7"/>
  <c r="AL34" i="7" s="1"/>
  <c r="X30" i="7"/>
  <c r="AK30" i="7" s="1"/>
  <c r="X7" i="7"/>
  <c r="AL7" i="7" s="1"/>
  <c r="AK34" i="7"/>
  <c r="X10" i="7"/>
  <c r="AK10" i="7" s="1"/>
  <c r="X18" i="7"/>
  <c r="AK18" i="7" s="1"/>
  <c r="AL12" i="7"/>
  <c r="X6" i="7"/>
  <c r="V36" i="7"/>
  <c r="AK17" i="7"/>
  <c r="AL25" i="7"/>
  <c r="S42" i="7"/>
  <c r="X31" i="7"/>
  <c r="AK31" i="7" s="1"/>
  <c r="X23" i="7"/>
  <c r="AK23" i="7" s="1"/>
  <c r="X13" i="7"/>
  <c r="AL13" i="7" s="1"/>
  <c r="X28" i="7"/>
  <c r="AK28" i="7" s="1"/>
  <c r="X8" i="7"/>
  <c r="AK8" i="7" s="1"/>
  <c r="X38" i="7"/>
  <c r="AK38" i="7" s="1"/>
  <c r="X20" i="7"/>
  <c r="AK20" i="7" s="1"/>
  <c r="X24" i="7"/>
  <c r="AK24" i="7" s="1"/>
  <c r="AL24" i="7"/>
  <c r="AK7" i="7"/>
  <c r="X17" i="7"/>
  <c r="AL17" i="7"/>
  <c r="X15" i="7"/>
  <c r="AL15" i="7" s="1"/>
  <c r="V19" i="7"/>
  <c r="X14" i="7"/>
  <c r="AL14" i="7" s="1"/>
  <c r="X9" i="7"/>
  <c r="AK9" i="7" s="1"/>
  <c r="AL9" i="7"/>
  <c r="V11" i="7"/>
  <c r="V42" i="7" s="1"/>
  <c r="Q42" i="7"/>
  <c r="AF11" i="7" l="1"/>
  <c r="L10" i="8" s="1"/>
  <c r="O10" i="8" s="1"/>
  <c r="AF22" i="7"/>
  <c r="L21" i="8" s="1"/>
  <c r="O21" i="8" s="1"/>
  <c r="AF10" i="7"/>
  <c r="L9" i="8" s="1"/>
  <c r="O9" i="8" s="1"/>
  <c r="AF24" i="7"/>
  <c r="L23" i="8" s="1"/>
  <c r="O23" i="8" s="1"/>
  <c r="AF9" i="7"/>
  <c r="L8" i="8" s="1"/>
  <c r="O8" i="8" s="1"/>
  <c r="AF18" i="7"/>
  <c r="L17" i="8" s="1"/>
  <c r="O17" i="8" s="1"/>
  <c r="AF36" i="7"/>
  <c r="L35" i="8" s="1"/>
  <c r="O35" i="8" s="1"/>
  <c r="AF12" i="7"/>
  <c r="L11" i="8" s="1"/>
  <c r="O11" i="8" s="1"/>
  <c r="AF35" i="7"/>
  <c r="L34" i="8" s="1"/>
  <c r="O34" i="8" s="1"/>
  <c r="AF19" i="7"/>
  <c r="L18" i="8" s="1"/>
  <c r="O18" i="8" s="1"/>
  <c r="AF39" i="7"/>
  <c r="L38" i="8" s="1"/>
  <c r="O38" i="8" s="1"/>
  <c r="AF32" i="7"/>
  <c r="L31" i="8" s="1"/>
  <c r="O31" i="8" s="1"/>
  <c r="AF14" i="7"/>
  <c r="L13" i="8" s="1"/>
  <c r="O13" i="8" s="1"/>
  <c r="AF33" i="7"/>
  <c r="L32" i="8" s="1"/>
  <c r="O32" i="8" s="1"/>
  <c r="AE42" i="7"/>
  <c r="AF6" i="7"/>
  <c r="AF15" i="7"/>
  <c r="L14" i="8" s="1"/>
  <c r="O14" i="8" s="1"/>
  <c r="AF13" i="7"/>
  <c r="L12" i="8" s="1"/>
  <c r="O12" i="8" s="1"/>
  <c r="N39" i="8"/>
  <c r="AF30" i="7"/>
  <c r="L29" i="8" s="1"/>
  <c r="O29" i="8" s="1"/>
  <c r="AF21" i="7"/>
  <c r="L20" i="8" s="1"/>
  <c r="O20" i="8" s="1"/>
  <c r="AF29" i="7"/>
  <c r="L28" i="8" s="1"/>
  <c r="O28" i="8" s="1"/>
  <c r="AF31" i="7"/>
  <c r="L30" i="8" s="1"/>
  <c r="O30" i="8" s="1"/>
  <c r="AF16" i="7"/>
  <c r="L15" i="8" s="1"/>
  <c r="O15" i="8" s="1"/>
  <c r="AF26" i="7"/>
  <c r="L25" i="8" s="1"/>
  <c r="O25" i="8" s="1"/>
  <c r="AF38" i="7"/>
  <c r="L37" i="8" s="1"/>
  <c r="O37" i="8" s="1"/>
  <c r="AF7" i="7"/>
  <c r="L6" i="8" s="1"/>
  <c r="O6" i="8" s="1"/>
  <c r="AF8" i="7"/>
  <c r="L7" i="8" s="1"/>
  <c r="O7" i="8" s="1"/>
  <c r="AF23" i="7"/>
  <c r="L22" i="8" s="1"/>
  <c r="O22" i="8" s="1"/>
  <c r="AF28" i="7"/>
  <c r="L27" i="8" s="1"/>
  <c r="O27" i="8" s="1"/>
  <c r="AF34" i="7"/>
  <c r="L33" i="8" s="1"/>
  <c r="O33" i="8" s="1"/>
  <c r="AF20" i="7"/>
  <c r="L19" i="8" s="1"/>
  <c r="O19" i="8" s="1"/>
  <c r="AF27" i="7"/>
  <c r="L26" i="8" s="1"/>
  <c r="O26" i="8" s="1"/>
  <c r="AF17" i="7"/>
  <c r="L16" i="8" s="1"/>
  <c r="O16" i="8" s="1"/>
  <c r="AF37" i="7"/>
  <c r="L36" i="8" s="1"/>
  <c r="O36" i="8" s="1"/>
  <c r="AF25" i="7"/>
  <c r="L24" i="8" s="1"/>
  <c r="O24" i="8" s="1"/>
  <c r="AL38" i="7"/>
  <c r="AL31" i="7"/>
  <c r="AL18" i="7"/>
  <c r="AL8" i="7"/>
  <c r="AK6" i="7"/>
  <c r="AK14" i="7"/>
  <c r="AK15" i="7"/>
  <c r="AL36" i="7"/>
  <c r="X36" i="7"/>
  <c r="AK36" i="7" s="1"/>
  <c r="X11" i="7"/>
  <c r="AK11" i="7" s="1"/>
  <c r="AL11" i="7"/>
  <c r="AL19" i="7"/>
  <c r="X19" i="7"/>
  <c r="AK19" i="7" s="1"/>
  <c r="AK13" i="7"/>
  <c r="AL10" i="7"/>
  <c r="AL20" i="7"/>
  <c r="AL28" i="7"/>
  <c r="AL6" i="7"/>
  <c r="K39" i="5"/>
  <c r="AH19" i="7" l="1"/>
  <c r="P18" i="8" s="1"/>
  <c r="AH8" i="7"/>
  <c r="P7" i="8" s="1"/>
  <c r="Q7" i="8" s="1"/>
  <c r="AH28" i="7"/>
  <c r="P27" i="8" s="1"/>
  <c r="AH12" i="7"/>
  <c r="P11" i="8" s="1"/>
  <c r="AH20" i="7"/>
  <c r="P19" i="8" s="1"/>
  <c r="Q19" i="8" s="1"/>
  <c r="AH31" i="7"/>
  <c r="P30" i="8" s="1"/>
  <c r="Q30" i="8" s="1"/>
  <c r="AH35" i="7"/>
  <c r="P34" i="8" s="1"/>
  <c r="Q34" i="8" s="1"/>
  <c r="AH36" i="7"/>
  <c r="P35" i="8" s="1"/>
  <c r="Q35" i="8" s="1"/>
  <c r="AH24" i="7"/>
  <c r="P23" i="8" s="1"/>
  <c r="Q23" i="8" s="1"/>
  <c r="AH15" i="7"/>
  <c r="P14" i="8" s="1"/>
  <c r="Q14" i="8" s="1"/>
  <c r="AH17" i="7"/>
  <c r="P16" i="8" s="1"/>
  <c r="Q16" i="8" s="1"/>
  <c r="AH23" i="7"/>
  <c r="P22" i="8" s="1"/>
  <c r="Q22" i="8" s="1"/>
  <c r="AH7" i="7"/>
  <c r="P6" i="8" s="1"/>
  <c r="Q6" i="8" s="1"/>
  <c r="AH16" i="7"/>
  <c r="P15" i="8" s="1"/>
  <c r="Q15" i="8" s="1"/>
  <c r="AH29" i="7"/>
  <c r="P28" i="8" s="1"/>
  <c r="Q28" i="8" s="1"/>
  <c r="AH32" i="7"/>
  <c r="P31" i="8" s="1"/>
  <c r="Q31" i="8" s="1"/>
  <c r="AH26" i="7"/>
  <c r="P25" i="8" s="1"/>
  <c r="Q25" i="8" s="1"/>
  <c r="AH21" i="7"/>
  <c r="P20" i="8" s="1"/>
  <c r="Q20" i="8" s="1"/>
  <c r="Q18" i="8"/>
  <c r="Q11" i="8"/>
  <c r="AH18" i="7"/>
  <c r="P17" i="8" s="1"/>
  <c r="Q17" i="8" s="1"/>
  <c r="AH22" i="7"/>
  <c r="P21" i="8" s="1"/>
  <c r="Q21" i="8" s="1"/>
  <c r="AH37" i="7"/>
  <c r="P36" i="8" s="1"/>
  <c r="Q36" i="8" s="1"/>
  <c r="AH33" i="7"/>
  <c r="P32" i="8" s="1"/>
  <c r="Q32" i="8" s="1"/>
  <c r="AH13" i="7"/>
  <c r="P12" i="8" s="1"/>
  <c r="Q12" i="8" s="1"/>
  <c r="AH11" i="7"/>
  <c r="P10" i="8" s="1"/>
  <c r="Q10" i="8" s="1"/>
  <c r="AH27" i="7"/>
  <c r="P26" i="8" s="1"/>
  <c r="Q26" i="8" s="1"/>
  <c r="AH34" i="7"/>
  <c r="P33" i="8" s="1"/>
  <c r="Q33" i="8" s="1"/>
  <c r="AF42" i="7"/>
  <c r="E15" i="6" s="1"/>
  <c r="L5" i="8"/>
  <c r="AH25" i="7"/>
  <c r="P24" i="8" s="1"/>
  <c r="Q24" i="8" s="1"/>
  <c r="Q27" i="8"/>
  <c r="AH38" i="7"/>
  <c r="P37" i="8" s="1"/>
  <c r="Q37" i="8" s="1"/>
  <c r="AH30" i="7"/>
  <c r="P29" i="8" s="1"/>
  <c r="Q29" i="8" s="1"/>
  <c r="AH6" i="7"/>
  <c r="AH14" i="7"/>
  <c r="P13" i="8" s="1"/>
  <c r="Q13" i="8" s="1"/>
  <c r="AH39" i="7"/>
  <c r="P38" i="8" s="1"/>
  <c r="Q38" i="8" s="1"/>
  <c r="AH9" i="7"/>
  <c r="P8" i="8" s="1"/>
  <c r="Q8" i="8" s="1"/>
  <c r="AH10" i="7"/>
  <c r="P9" i="8" s="1"/>
  <c r="Q9" i="8" s="1"/>
  <c r="AL42" i="7"/>
  <c r="AK42" i="7"/>
  <c r="X42" i="7"/>
  <c r="N15" i="6" l="1"/>
  <c r="J15" i="6"/>
  <c r="F15" i="6"/>
  <c r="P15" i="6"/>
  <c r="K15" i="6"/>
  <c r="G15" i="6"/>
  <c r="Q15" i="6"/>
  <c r="M15" i="6"/>
  <c r="I15" i="6"/>
  <c r="L15" i="6"/>
  <c r="H15" i="6"/>
  <c r="O15" i="6"/>
  <c r="E21" i="6"/>
  <c r="AH42" i="7"/>
  <c r="AH45" i="7" s="1"/>
  <c r="AH44" i="7" s="1"/>
  <c r="P5" i="8"/>
  <c r="P39" i="8" s="1"/>
  <c r="O5" i="8"/>
  <c r="L39" i="8"/>
  <c r="M41" i="8" s="1"/>
  <c r="M42" i="8" s="1"/>
  <c r="F14" i="6" l="1"/>
  <c r="F21" i="6" s="1"/>
  <c r="O39" i="8"/>
  <c r="Q5" i="8"/>
  <c r="Q39" i="8" s="1"/>
  <c r="G14" i="6" l="1"/>
  <c r="G21" i="6" s="1"/>
  <c r="U54" i="3"/>
  <c r="E8" i="3"/>
  <c r="AA9" i="3"/>
  <c r="AA8" i="3"/>
  <c r="AA48" i="3" s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R48" i="3"/>
  <c r="E48" i="3"/>
  <c r="U38" i="3"/>
  <c r="U34" i="3"/>
  <c r="U48" i="3" s="1"/>
  <c r="U21" i="3"/>
  <c r="U14" i="3"/>
  <c r="V22" i="3"/>
  <c r="V28" i="3"/>
  <c r="V44" i="3"/>
  <c r="V45" i="3"/>
  <c r="V46" i="3"/>
  <c r="V47" i="3"/>
  <c r="X49" i="3"/>
  <c r="Y49" i="3"/>
  <c r="Z48" i="3"/>
  <c r="Y48" i="3"/>
  <c r="W49" i="3"/>
  <c r="T49" i="3"/>
  <c r="C48" i="3"/>
  <c r="I48" i="3"/>
  <c r="T48" i="3"/>
  <c r="O48" i="3"/>
  <c r="Q43" i="3"/>
  <c r="Q42" i="3"/>
  <c r="V42" i="3" s="1"/>
  <c r="Q41" i="3"/>
  <c r="V41" i="3" s="1"/>
  <c r="Q39" i="3"/>
  <c r="Q38" i="3"/>
  <c r="Q37" i="3"/>
  <c r="Q36" i="3"/>
  <c r="V36" i="3" s="1"/>
  <c r="K36" i="3"/>
  <c r="Q35" i="3"/>
  <c r="Q34" i="3"/>
  <c r="V34" i="3" s="1"/>
  <c r="Q33" i="3"/>
  <c r="V33" i="3" s="1"/>
  <c r="Q32" i="3"/>
  <c r="K32" i="3"/>
  <c r="Q31" i="3"/>
  <c r="V31" i="3" s="1"/>
  <c r="Q30" i="3"/>
  <c r="V30" i="3" s="1"/>
  <c r="K30" i="3"/>
  <c r="Q29" i="3"/>
  <c r="K29" i="3"/>
  <c r="V29" i="3" s="1"/>
  <c r="Q27" i="3"/>
  <c r="V27" i="3" s="1"/>
  <c r="Q26" i="3"/>
  <c r="Q25" i="3"/>
  <c r="K25" i="3"/>
  <c r="Q24" i="3"/>
  <c r="V24" i="3" s="1"/>
  <c r="Q23" i="3"/>
  <c r="Q21" i="3"/>
  <c r="Q20" i="3"/>
  <c r="V20" i="3" s="1"/>
  <c r="Q19" i="3"/>
  <c r="Q18" i="3"/>
  <c r="Q17" i="3"/>
  <c r="Q16" i="3"/>
  <c r="V16" i="3" s="1"/>
  <c r="Q15" i="3"/>
  <c r="K15" i="3"/>
  <c r="Q14" i="3"/>
  <c r="Q13" i="3"/>
  <c r="K13" i="3"/>
  <c r="V13" i="3" s="1"/>
  <c r="Q12" i="3"/>
  <c r="K12" i="3"/>
  <c r="Q11" i="3"/>
  <c r="V11" i="3" s="1"/>
  <c r="Q10" i="3"/>
  <c r="V10" i="3" s="1"/>
  <c r="Q9" i="3"/>
  <c r="Q8" i="3"/>
  <c r="V8" i="3"/>
  <c r="V32" i="3"/>
  <c r="V23" i="3"/>
  <c r="V17" i="3"/>
  <c r="V19" i="3"/>
  <c r="V21" i="3"/>
  <c r="V15" i="3"/>
  <c r="V35" i="3"/>
  <c r="V37" i="3"/>
  <c r="V39" i="3"/>
  <c r="V43" i="3"/>
  <c r="V9" i="3"/>
  <c r="V14" i="3"/>
  <c r="V12" i="3"/>
  <c r="V18" i="3"/>
  <c r="V26" i="3"/>
  <c r="V38" i="3"/>
  <c r="V40" i="3"/>
  <c r="H14" i="6" l="1"/>
  <c r="H21" i="6" s="1"/>
  <c r="K48" i="3"/>
  <c r="Q48" i="3"/>
  <c r="V25" i="3"/>
  <c r="V48" i="3" s="1"/>
  <c r="I14" i="6" l="1"/>
  <c r="I21" i="6" s="1"/>
  <c r="X41" i="3"/>
  <c r="X27" i="3"/>
  <c r="X8" i="3"/>
  <c r="X22" i="3"/>
  <c r="X30" i="3"/>
  <c r="X44" i="3"/>
  <c r="X15" i="3"/>
  <c r="X24" i="3"/>
  <c r="X29" i="3"/>
  <c r="X32" i="3"/>
  <c r="X38" i="3"/>
  <c r="X42" i="3"/>
  <c r="X31" i="3"/>
  <c r="X34" i="3"/>
  <c r="X33" i="3"/>
  <c r="X12" i="3"/>
  <c r="X21" i="3"/>
  <c r="X40" i="3"/>
  <c r="X13" i="3"/>
  <c r="X37" i="3"/>
  <c r="X28" i="3"/>
  <c r="X43" i="3"/>
  <c r="X16" i="3"/>
  <c r="X36" i="3"/>
  <c r="X39" i="3"/>
  <c r="X17" i="3"/>
  <c r="X18" i="3"/>
  <c r="X26" i="3"/>
  <c r="X11" i="3"/>
  <c r="X10" i="3"/>
  <c r="X25" i="3"/>
  <c r="X20" i="3"/>
  <c r="X45" i="3"/>
  <c r="X9" i="3"/>
  <c r="X14" i="3"/>
  <c r="X19" i="3"/>
  <c r="X23" i="3"/>
  <c r="X35" i="3"/>
  <c r="J14" i="6" l="1"/>
  <c r="J21" i="6" s="1"/>
  <c r="X48" i="3"/>
  <c r="J22" i="5"/>
  <c r="M22" i="5" s="1"/>
  <c r="J27" i="5"/>
  <c r="M27" i="5" s="1"/>
  <c r="J13" i="5"/>
  <c r="M13" i="5" s="1"/>
  <c r="J24" i="5"/>
  <c r="M24" i="5" s="1"/>
  <c r="J8" i="5"/>
  <c r="M8" i="5" s="1"/>
  <c r="J38" i="5"/>
  <c r="M38" i="5" s="1"/>
  <c r="J20" i="5"/>
  <c r="M20" i="5" s="1"/>
  <c r="J37" i="5"/>
  <c r="M37" i="5" s="1"/>
  <c r="J31" i="5"/>
  <c r="M31" i="5" s="1"/>
  <c r="K14" i="6" l="1"/>
  <c r="K21" i="6" s="1"/>
  <c r="J34" i="5"/>
  <c r="M34" i="5" s="1"/>
  <c r="J26" i="5"/>
  <c r="M26" i="5" s="1"/>
  <c r="J32" i="5"/>
  <c r="M32" i="5" s="1"/>
  <c r="J36" i="5"/>
  <c r="M36" i="5" s="1"/>
  <c r="J17" i="5"/>
  <c r="M17" i="5" s="1"/>
  <c r="J12" i="5"/>
  <c r="M12" i="5" s="1"/>
  <c r="J21" i="5"/>
  <c r="M21" i="5" s="1"/>
  <c r="J6" i="5"/>
  <c r="M6" i="5" s="1"/>
  <c r="J10" i="5"/>
  <c r="M10" i="5" s="1"/>
  <c r="J29" i="5"/>
  <c r="M29" i="5" s="1"/>
  <c r="J28" i="5"/>
  <c r="M28" i="5" s="1"/>
  <c r="J33" i="5"/>
  <c r="M33" i="5" s="1"/>
  <c r="J7" i="5"/>
  <c r="M7" i="5" s="1"/>
  <c r="J25" i="5"/>
  <c r="M25" i="5" s="1"/>
  <c r="J18" i="5"/>
  <c r="M18" i="5" s="1"/>
  <c r="J14" i="5"/>
  <c r="M14" i="5" s="1"/>
  <c r="J5" i="5"/>
  <c r="J9" i="5"/>
  <c r="M9" i="5" s="1"/>
  <c r="J16" i="5"/>
  <c r="M16" i="5" s="1"/>
  <c r="J11" i="5"/>
  <c r="M11" i="5" s="1"/>
  <c r="J35" i="5"/>
  <c r="M35" i="5" s="1"/>
  <c r="J19" i="5"/>
  <c r="M19" i="5" s="1"/>
  <c r="J15" i="5"/>
  <c r="M15" i="5" s="1"/>
  <c r="J23" i="5"/>
  <c r="M23" i="5" s="1"/>
  <c r="J30" i="5"/>
  <c r="M30" i="5" s="1"/>
  <c r="L14" i="6" l="1"/>
  <c r="L21" i="6" s="1"/>
  <c r="J39" i="5"/>
  <c r="J42" i="5" s="1"/>
  <c r="M5" i="5"/>
  <c r="M14" i="6" l="1"/>
  <c r="M21" i="6" s="1"/>
  <c r="I10" i="5"/>
  <c r="I31" i="5"/>
  <c r="G6" i="5"/>
  <c r="G22" i="5"/>
  <c r="G7" i="5"/>
  <c r="G26" i="5"/>
  <c r="I33" i="5"/>
  <c r="I8" i="5"/>
  <c r="I17" i="5"/>
  <c r="G31" i="5"/>
  <c r="I25" i="5"/>
  <c r="I7" i="5"/>
  <c r="I15" i="5"/>
  <c r="G24" i="5"/>
  <c r="I36" i="5"/>
  <c r="G9" i="5"/>
  <c r="G21" i="5"/>
  <c r="E27" i="5"/>
  <c r="G38" i="5"/>
  <c r="I22" i="5"/>
  <c r="E31" i="5"/>
  <c r="G11" i="5"/>
  <c r="G15" i="5"/>
  <c r="G14" i="5"/>
  <c r="I27" i="5"/>
  <c r="G35" i="5"/>
  <c r="I19" i="5"/>
  <c r="I14" i="5"/>
  <c r="G34" i="5"/>
  <c r="I24" i="5"/>
  <c r="E20" i="5"/>
  <c r="G19" i="5"/>
  <c r="I29" i="5"/>
  <c r="E24" i="5"/>
  <c r="G12" i="5"/>
  <c r="G20" i="5"/>
  <c r="I6" i="5"/>
  <c r="I26" i="5"/>
  <c r="G23" i="5"/>
  <c r="I30" i="5"/>
  <c r="E9" i="5"/>
  <c r="E25" i="5"/>
  <c r="E11" i="5"/>
  <c r="G27" i="5"/>
  <c r="I13" i="5"/>
  <c r="I9" i="5"/>
  <c r="I20" i="5"/>
  <c r="I32" i="5"/>
  <c r="I34" i="5"/>
  <c r="G8" i="5"/>
  <c r="G16" i="5"/>
  <c r="I35" i="5"/>
  <c r="G37" i="5"/>
  <c r="G13" i="5"/>
  <c r="E8" i="5"/>
  <c r="I12" i="5"/>
  <c r="G28" i="5"/>
  <c r="I28" i="5"/>
  <c r="G10" i="5"/>
  <c r="I21" i="5"/>
  <c r="I11" i="5"/>
  <c r="G36" i="5"/>
  <c r="E38" i="5"/>
  <c r="G25" i="5"/>
  <c r="G29" i="5"/>
  <c r="G33" i="5"/>
  <c r="I5" i="5"/>
  <c r="G32" i="5"/>
  <c r="I16" i="5"/>
  <c r="G30" i="5"/>
  <c r="I38" i="5"/>
  <c r="E37" i="5"/>
  <c r="G17" i="5"/>
  <c r="I37" i="5"/>
  <c r="E13" i="5"/>
  <c r="C27" i="5"/>
  <c r="O27" i="5" s="1"/>
  <c r="C17" i="5"/>
  <c r="O17" i="5" s="1"/>
  <c r="C38" i="5"/>
  <c r="O38" i="5" s="1"/>
  <c r="C18" i="5"/>
  <c r="O18" i="5" s="1"/>
  <c r="C37" i="5"/>
  <c r="O37" i="5" s="1"/>
  <c r="C15" i="5"/>
  <c r="O15" i="5" s="1"/>
  <c r="C22" i="5"/>
  <c r="O22" i="5" s="1"/>
  <c r="C12" i="5"/>
  <c r="O12" i="5" s="1"/>
  <c r="C21" i="5"/>
  <c r="O21" i="5" s="1"/>
  <c r="C13" i="5"/>
  <c r="O13" i="5" s="1"/>
  <c r="C24" i="5"/>
  <c r="O24" i="5" s="1"/>
  <c r="C26" i="5"/>
  <c r="O26" i="5" s="1"/>
  <c r="C20" i="5"/>
  <c r="O20" i="5" s="1"/>
  <c r="C34" i="5"/>
  <c r="O34" i="5" s="1"/>
  <c r="C31" i="5"/>
  <c r="O31" i="5" s="1"/>
  <c r="C32" i="5"/>
  <c r="O32" i="5" s="1"/>
  <c r="C23" i="5"/>
  <c r="O23" i="5" s="1"/>
  <c r="C36" i="5"/>
  <c r="O36" i="5" s="1"/>
  <c r="C8" i="5"/>
  <c r="O8" i="5" s="1"/>
  <c r="C28" i="5"/>
  <c r="O28" i="5" s="1"/>
  <c r="C33" i="5"/>
  <c r="O33" i="5" s="1"/>
  <c r="C30" i="5"/>
  <c r="O30" i="5" s="1"/>
  <c r="E36" i="5"/>
  <c r="E15" i="5"/>
  <c r="E7" i="5"/>
  <c r="E23" i="5"/>
  <c r="E21" i="5"/>
  <c r="E16" i="5"/>
  <c r="E29" i="5"/>
  <c r="C10" i="5"/>
  <c r="O10" i="5" s="1"/>
  <c r="C11" i="5"/>
  <c r="O11" i="5" s="1"/>
  <c r="C19" i="5"/>
  <c r="O19" i="5" s="1"/>
  <c r="I18" i="5"/>
  <c r="E32" i="5"/>
  <c r="C6" i="5"/>
  <c r="O6" i="5" s="1"/>
  <c r="G5" i="5"/>
  <c r="E26" i="5"/>
  <c r="E33" i="5"/>
  <c r="C29" i="5"/>
  <c r="O29" i="5" s="1"/>
  <c r="C14" i="5"/>
  <c r="O14" i="5" s="1"/>
  <c r="E6" i="5"/>
  <c r="E17" i="5"/>
  <c r="Q17" i="5" s="1"/>
  <c r="E28" i="5"/>
  <c r="E19" i="5"/>
  <c r="E34" i="5"/>
  <c r="I23" i="5"/>
  <c r="E18" i="5"/>
  <c r="C7" i="5"/>
  <c r="O7" i="5" s="1"/>
  <c r="C16" i="5"/>
  <c r="O16" i="5" s="1"/>
  <c r="C35" i="5"/>
  <c r="O35" i="5" s="1"/>
  <c r="E10" i="5"/>
  <c r="E5" i="5"/>
  <c r="E35" i="5"/>
  <c r="G18" i="5"/>
  <c r="C25" i="5"/>
  <c r="O25" i="5" s="1"/>
  <c r="E14" i="5"/>
  <c r="E22" i="5"/>
  <c r="E12" i="5"/>
  <c r="C9" i="5"/>
  <c r="O9" i="5" s="1"/>
  <c r="E30" i="5"/>
  <c r="C5" i="5"/>
  <c r="O5" i="5" s="1"/>
  <c r="M39" i="5"/>
  <c r="N14" i="6" l="1"/>
  <c r="N21" i="6" s="1"/>
  <c r="Q38" i="5"/>
  <c r="Q25" i="5"/>
  <c r="Q22" i="5"/>
  <c r="Q18" i="5"/>
  <c r="Q30" i="5"/>
  <c r="Q7" i="5"/>
  <c r="G39" i="5"/>
  <c r="Q32" i="5"/>
  <c r="Q31" i="5"/>
  <c r="Q28" i="5"/>
  <c r="Q12" i="5"/>
  <c r="Q13" i="5"/>
  <c r="Q6" i="5"/>
  <c r="Q29" i="5"/>
  <c r="Q20" i="5"/>
  <c r="Q23" i="5"/>
  <c r="Q11" i="5"/>
  <c r="Q8" i="5"/>
  <c r="Q9" i="5"/>
  <c r="Q15" i="5"/>
  <c r="Q26" i="5"/>
  <c r="Q10" i="5"/>
  <c r="Q36" i="5"/>
  <c r="Q34" i="5"/>
  <c r="Q24" i="5"/>
  <c r="Q21" i="5"/>
  <c r="Q37" i="5"/>
  <c r="Q27" i="5"/>
  <c r="E39" i="5"/>
  <c r="I39" i="5"/>
  <c r="Q14" i="5"/>
  <c r="C39" i="5"/>
  <c r="Q16" i="5"/>
  <c r="Q5" i="5"/>
  <c r="O14" i="6" l="1"/>
  <c r="O21" i="6" s="1"/>
  <c r="E41" i="5"/>
  <c r="P39" i="5"/>
  <c r="R49" i="3"/>
  <c r="S54" i="3"/>
  <c r="C42" i="5"/>
  <c r="C43" i="5" s="1"/>
  <c r="Q19" i="5"/>
  <c r="Q33" i="5"/>
  <c r="L49" i="3"/>
  <c r="M54" i="3"/>
  <c r="Q35" i="5"/>
  <c r="O39" i="5"/>
  <c r="L39" i="5"/>
  <c r="Q39" i="5" l="1"/>
  <c r="Q14" i="6"/>
  <c r="Q21" i="6" s="1"/>
  <c r="P14" i="6"/>
  <c r="P21" i="6" s="1"/>
  <c r="M9" i="3"/>
  <c r="M37" i="3"/>
  <c r="M27" i="3"/>
  <c r="M38" i="3"/>
  <c r="M23" i="3"/>
  <c r="M21" i="3"/>
  <c r="M33" i="3"/>
  <c r="M41" i="3"/>
  <c r="M44" i="3"/>
  <c r="M16" i="3"/>
  <c r="M11" i="3"/>
  <c r="M31" i="3"/>
  <c r="M14" i="3"/>
  <c r="M18" i="3"/>
  <c r="M17" i="3"/>
  <c r="M22" i="3"/>
  <c r="M35" i="3"/>
  <c r="M8" i="3"/>
  <c r="M10" i="3"/>
  <c r="M19" i="3"/>
  <c r="M45" i="3"/>
  <c r="M26" i="3"/>
  <c r="M34" i="3"/>
  <c r="M39" i="3"/>
  <c r="M40" i="3"/>
  <c r="M20" i="3"/>
  <c r="L50" i="3"/>
  <c r="M15" i="3"/>
  <c r="M28" i="3"/>
  <c r="M24" i="3"/>
  <c r="S32" i="3"/>
  <c r="S25" i="3"/>
  <c r="S40" i="3"/>
  <c r="S8" i="3"/>
  <c r="S33" i="3"/>
  <c r="S16" i="3"/>
  <c r="S42" i="3"/>
  <c r="S18" i="3"/>
  <c r="S10" i="3"/>
  <c r="S23" i="3"/>
  <c r="S41" i="3"/>
  <c r="S17" i="3"/>
  <c r="S24" i="3"/>
  <c r="S9" i="3"/>
  <c r="S20" i="3"/>
  <c r="S38" i="3"/>
  <c r="S12" i="3"/>
  <c r="S47" i="3"/>
  <c r="S43" i="3"/>
  <c r="S22" i="3"/>
  <c r="S27" i="3"/>
  <c r="R50" i="3"/>
  <c r="S15" i="3"/>
  <c r="S13" i="3"/>
  <c r="S37" i="3"/>
  <c r="S45" i="3"/>
  <c r="S11" i="3"/>
  <c r="S21" i="3"/>
  <c r="S44" i="3"/>
  <c r="S34" i="3"/>
  <c r="S46" i="3"/>
  <c r="S39" i="3"/>
  <c r="S35" i="3"/>
  <c r="S36" i="3"/>
  <c r="S19" i="3"/>
  <c r="S31" i="3"/>
  <c r="S29" i="3"/>
  <c r="S30" i="3"/>
  <c r="S26" i="3"/>
  <c r="S14" i="3"/>
  <c r="S48" i="3" l="1"/>
  <c r="S49" i="3" s="1"/>
  <c r="M48" i="3"/>
  <c r="M49" i="3" s="1"/>
  <c r="G54" i="3" l="1"/>
  <c r="AB54" i="3" s="1"/>
  <c r="F49" i="3"/>
  <c r="G14" i="3" l="1"/>
  <c r="G34" i="3"/>
  <c r="G22" i="3"/>
  <c r="G11" i="3"/>
  <c r="G21" i="3"/>
  <c r="G30" i="3"/>
  <c r="G43" i="3"/>
  <c r="G33" i="3"/>
  <c r="G24" i="3"/>
  <c r="G36" i="3"/>
  <c r="AA49" i="3"/>
  <c r="AA50" i="3" s="1"/>
  <c r="G8" i="3"/>
  <c r="G15" i="3"/>
  <c r="G10" i="3"/>
  <c r="G17" i="3"/>
  <c r="G39" i="3"/>
  <c r="G47" i="3"/>
  <c r="G26" i="3"/>
  <c r="G25" i="3"/>
  <c r="G28" i="3"/>
  <c r="G31" i="3"/>
  <c r="G23" i="3"/>
  <c r="G12" i="3"/>
  <c r="G44" i="3"/>
  <c r="G29" i="3"/>
  <c r="G35" i="3"/>
  <c r="G38" i="3"/>
  <c r="G27" i="3"/>
  <c r="G19" i="3"/>
  <c r="G41" i="3"/>
  <c r="G20" i="3"/>
  <c r="G40" i="3"/>
  <c r="G16" i="3"/>
  <c r="G32" i="3"/>
  <c r="G18" i="3"/>
  <c r="G13" i="3"/>
  <c r="G45" i="3"/>
  <c r="F50" i="3"/>
  <c r="G42" i="3"/>
  <c r="G37" i="3"/>
  <c r="G46" i="3"/>
  <c r="G9" i="3"/>
  <c r="G48" i="3" l="1"/>
  <c r="AB8" i="3"/>
  <c r="AD8" i="3"/>
  <c r="AD40" i="3"/>
  <c r="AB40" i="3"/>
  <c r="AC40" i="3" s="1"/>
  <c r="AB28" i="3"/>
  <c r="AC28" i="3" s="1"/>
  <c r="AD28" i="3"/>
  <c r="AB20" i="3"/>
  <c r="AC20" i="3" s="1"/>
  <c r="AD20" i="3"/>
  <c r="AB25" i="3"/>
  <c r="AC25" i="3" s="1"/>
  <c r="AD25" i="3"/>
  <c r="AB43" i="3"/>
  <c r="AC43" i="3" s="1"/>
  <c r="AD43" i="3"/>
  <c r="AB22" i="3"/>
  <c r="AC22" i="3" s="1"/>
  <c r="AD22" i="3"/>
  <c r="AD37" i="3"/>
  <c r="AB37" i="3"/>
  <c r="AC37" i="3" s="1"/>
  <c r="AD44" i="3"/>
  <c r="AB44" i="3"/>
  <c r="AC44" i="3" s="1"/>
  <c r="AD33" i="3"/>
  <c r="AB33" i="3"/>
  <c r="AC33" i="3" s="1"/>
  <c r="AB42" i="3"/>
  <c r="AC42" i="3" s="1"/>
  <c r="AD42" i="3"/>
  <c r="AB38" i="3"/>
  <c r="AC38" i="3" s="1"/>
  <c r="AD38" i="3"/>
  <c r="AD12" i="3"/>
  <c r="AB12" i="3"/>
  <c r="AC12" i="3" s="1"/>
  <c r="AB17" i="3"/>
  <c r="AC17" i="3" s="1"/>
  <c r="AD17" i="3"/>
  <c r="AD9" i="3"/>
  <c r="AB9" i="3"/>
  <c r="AC9" i="3" s="1"/>
  <c r="AD32" i="3"/>
  <c r="AB32" i="3"/>
  <c r="AC32" i="3" s="1"/>
  <c r="AD35" i="3"/>
  <c r="AB35" i="3"/>
  <c r="AC35" i="3" s="1"/>
  <c r="AB26" i="3"/>
  <c r="AC26" i="3" s="1"/>
  <c r="AD26" i="3"/>
  <c r="AD36" i="3"/>
  <c r="AB36" i="3"/>
  <c r="AC36" i="3" s="1"/>
  <c r="AD30" i="3"/>
  <c r="AB30" i="3"/>
  <c r="AC30" i="3" s="1"/>
  <c r="AB34" i="3"/>
  <c r="AC34" i="3" s="1"/>
  <c r="AD34" i="3"/>
  <c r="AD13" i="3"/>
  <c r="AB13" i="3"/>
  <c r="AC13" i="3" s="1"/>
  <c r="AB27" i="3"/>
  <c r="AC27" i="3" s="1"/>
  <c r="AD27" i="3"/>
  <c r="AD39" i="3"/>
  <c r="AB39" i="3"/>
  <c r="AC39" i="3" s="1"/>
  <c r="AD11" i="3"/>
  <c r="AB11" i="3"/>
  <c r="AC11" i="3" s="1"/>
  <c r="AD18" i="3"/>
  <c r="AB18" i="3"/>
  <c r="AC18" i="3" s="1"/>
  <c r="AD41" i="3"/>
  <c r="AB41" i="3"/>
  <c r="AC41" i="3" s="1"/>
  <c r="AB23" i="3"/>
  <c r="AC23" i="3" s="1"/>
  <c r="AD23" i="3"/>
  <c r="AB10" i="3"/>
  <c r="AC10" i="3" s="1"/>
  <c r="AD10" i="3"/>
  <c r="AB46" i="3"/>
  <c r="AC46" i="3" s="1"/>
  <c r="AD46" i="3"/>
  <c r="AB45" i="3"/>
  <c r="AC45" i="3" s="1"/>
  <c r="AD45" i="3"/>
  <c r="AB16" i="3"/>
  <c r="AC16" i="3" s="1"/>
  <c r="AD16" i="3"/>
  <c r="AB19" i="3"/>
  <c r="AC19" i="3" s="1"/>
  <c r="AD19" i="3"/>
  <c r="AD29" i="3"/>
  <c r="AB29" i="3"/>
  <c r="AC29" i="3" s="1"/>
  <c r="AB31" i="3"/>
  <c r="AC31" i="3" s="1"/>
  <c r="AD31" i="3"/>
  <c r="AB47" i="3"/>
  <c r="AC47" i="3" s="1"/>
  <c r="AD47" i="3"/>
  <c r="AB15" i="3"/>
  <c r="AC15" i="3" s="1"/>
  <c r="AD15" i="3"/>
  <c r="AB24" i="3"/>
  <c r="AC24" i="3" s="1"/>
  <c r="AD24" i="3"/>
  <c r="AB21" i="3"/>
  <c r="AC21" i="3" s="1"/>
  <c r="AD21" i="3"/>
  <c r="AB14" i="3"/>
  <c r="AC14" i="3" s="1"/>
  <c r="AD14" i="3"/>
  <c r="AD48" i="3" l="1"/>
  <c r="AB48" i="3"/>
  <c r="AC8" i="3"/>
  <c r="G49" i="3"/>
  <c r="AB49" i="3"/>
  <c r="AB50" i="3" l="1"/>
  <c r="L24" i="6" l="1"/>
  <c r="N24" i="6"/>
  <c r="H24" i="6"/>
  <c r="P24" i="6"/>
  <c r="I24" i="6"/>
  <c r="M24" i="6"/>
  <c r="Q24" i="6"/>
  <c r="J24" i="6"/>
  <c r="G24" i="6"/>
  <c r="K24" i="6"/>
  <c r="K23" i="6" s="1"/>
  <c r="O24" i="6"/>
  <c r="F24" i="6"/>
  <c r="J25" i="6"/>
  <c r="N25" i="6"/>
  <c r="G25" i="6"/>
  <c r="K25" i="6"/>
  <c r="O25" i="6"/>
  <c r="H25" i="6"/>
  <c r="L25" i="6"/>
  <c r="P25" i="6"/>
  <c r="I25" i="6"/>
  <c r="M25" i="6"/>
  <c r="F25" i="6"/>
  <c r="Q25" i="6"/>
  <c r="J26" i="6"/>
  <c r="N26" i="6"/>
  <c r="G26" i="6"/>
  <c r="K26" i="6"/>
  <c r="O26" i="6"/>
  <c r="H26" i="6"/>
  <c r="L26" i="6"/>
  <c r="P26" i="6"/>
  <c r="I26" i="6"/>
  <c r="M26" i="6"/>
  <c r="F26" i="6"/>
  <c r="Q26" i="6"/>
  <c r="L23" i="6"/>
  <c r="E23" i="6"/>
  <c r="E70" i="6" s="1"/>
  <c r="E72" i="6" s="1"/>
  <c r="K70" i="6" l="1"/>
  <c r="K72" i="6" s="1"/>
  <c r="L70" i="6"/>
  <c r="L72" i="6" s="1"/>
  <c r="P23" i="6"/>
  <c r="J23" i="6"/>
  <c r="F23" i="6"/>
  <c r="F70" i="6" s="1"/>
  <c r="G23" i="6"/>
  <c r="Q23" i="6"/>
  <c r="I23" i="6"/>
  <c r="H23" i="6"/>
  <c r="O23" i="6"/>
  <c r="M23" i="6"/>
  <c r="N23" i="6"/>
  <c r="H70" i="6" l="1"/>
  <c r="H72" i="6" s="1"/>
  <c r="O70" i="6"/>
  <c r="O72" i="6" s="1"/>
  <c r="J70" i="6"/>
  <c r="J72" i="6" s="1"/>
  <c r="G70" i="6"/>
  <c r="G72" i="6" s="1"/>
  <c r="N70" i="6"/>
  <c r="N72" i="6" s="1"/>
  <c r="I70" i="6"/>
  <c r="I72" i="6" s="1"/>
  <c r="M70" i="6"/>
  <c r="M72" i="6" s="1"/>
  <c r="Q70" i="6"/>
  <c r="Q72" i="6" s="1"/>
  <c r="P70" i="6"/>
  <c r="P72" i="6" s="1"/>
  <c r="F72" i="6"/>
  <c r="S70" i="6" l="1"/>
  <c r="S72" i="6"/>
</calcChain>
</file>

<file path=xl/sharedStrings.xml><?xml version="1.0" encoding="utf-8"?>
<sst xmlns="http://schemas.openxmlformats.org/spreadsheetml/2006/main" count="744" uniqueCount="357">
  <si>
    <t>KNIGHTSBRIDGE MANSIONS BC</t>
  </si>
  <si>
    <t>Levy Income</t>
  </si>
  <si>
    <t>Storage Levies</t>
  </si>
  <si>
    <t>Garage Levies</t>
  </si>
  <si>
    <t>Rental Income</t>
  </si>
  <si>
    <t>Recovery - General</t>
  </si>
  <si>
    <t>Interest Received</t>
  </si>
  <si>
    <t>Accounting Fees</t>
  </si>
  <si>
    <t>Bank Charges</t>
  </si>
  <si>
    <t>Security Contract</t>
  </si>
  <si>
    <t>Electricity</t>
  </si>
  <si>
    <t>Rates</t>
  </si>
  <si>
    <t>Water</t>
  </si>
  <si>
    <t>Refuse</t>
  </si>
  <si>
    <t>Sewerage</t>
  </si>
  <si>
    <t>Insurance</t>
  </si>
  <si>
    <t>Management Fees</t>
  </si>
  <si>
    <t>Pest Control</t>
  </si>
  <si>
    <t>Printing &amp; Stationery</t>
  </si>
  <si>
    <t>Petty Cash - Gardeners</t>
  </si>
  <si>
    <t>Professional Fees</t>
  </si>
  <si>
    <t>Telephone Usage</t>
  </si>
  <si>
    <t>Pension - GL Sokomani</t>
  </si>
  <si>
    <t xml:space="preserve">Total </t>
  </si>
  <si>
    <t>Flat Levies</t>
  </si>
  <si>
    <t>Security Levies</t>
  </si>
  <si>
    <t>CSOS Recoveries</t>
  </si>
  <si>
    <t>General Maintenance</t>
  </si>
  <si>
    <t>Total Income</t>
  </si>
  <si>
    <t>Administration Costs</t>
  </si>
  <si>
    <t>Municipal Costs</t>
  </si>
  <si>
    <t xml:space="preserve">Recoveries </t>
  </si>
  <si>
    <t xml:space="preserve">Repairs And Maintenance </t>
  </si>
  <si>
    <t xml:space="preserve">Maintenance Reserve </t>
  </si>
  <si>
    <t>General Plumbing Repairs</t>
  </si>
  <si>
    <t>Entertainment Area</t>
  </si>
  <si>
    <t>Parking Facilities</t>
  </si>
  <si>
    <t>Community and Recreational Facilities</t>
  </si>
  <si>
    <t>Total Expenditure</t>
  </si>
  <si>
    <t>Surplus/(Deficit)</t>
  </si>
  <si>
    <t>Proposed</t>
  </si>
  <si>
    <t>Audit Fees</t>
  </si>
  <si>
    <t>Legal Fees</t>
  </si>
  <si>
    <t>Meeting Costs</t>
  </si>
  <si>
    <t>Painting</t>
  </si>
  <si>
    <t>Remote tags</t>
  </si>
  <si>
    <t xml:space="preserve">Taxation </t>
  </si>
  <si>
    <t>Difference</t>
  </si>
  <si>
    <t>KNIGHTSBRIDGE - MAINTENANCE SCHEDULE</t>
  </si>
  <si>
    <t>Calculation Rates</t>
  </si>
  <si>
    <t>External Building Areas - Maintenace Schedule</t>
  </si>
  <si>
    <t>WORK DUE IN</t>
  </si>
  <si>
    <t>No</t>
  </si>
  <si>
    <t>ITEM</t>
  </si>
  <si>
    <t>Indication</t>
  </si>
  <si>
    <t>UNIT</t>
  </si>
  <si>
    <t>MEASURE</t>
  </si>
  <si>
    <t>RATE</t>
  </si>
  <si>
    <t>TOTAL</t>
  </si>
  <si>
    <t>Electrical Areas</t>
  </si>
  <si>
    <t xml:space="preserve">General Electrics and Lighting </t>
  </si>
  <si>
    <t>x</t>
  </si>
  <si>
    <t>Generators</t>
  </si>
  <si>
    <t/>
  </si>
  <si>
    <t>Main Gate Motors (Replacement/Maintenance savings)</t>
  </si>
  <si>
    <t>External Plumbing Areas</t>
  </si>
  <si>
    <t>General Plumbing Repairs (Stacks, Valves etc.)</t>
  </si>
  <si>
    <t>Replacement of Stacks (Cast Iron) PC SUM</t>
  </si>
  <si>
    <t>Repairs to Water Tanks</t>
  </si>
  <si>
    <t>Servicing of Full-Bore Piping</t>
  </si>
  <si>
    <t>Heating and Cooling Systems</t>
  </si>
  <si>
    <t>Ventilation Shafts (Maintenance &amp; Replacement)</t>
  </si>
  <si>
    <t>Air Conditioning Units (Maintenance/Replacement)</t>
  </si>
  <si>
    <t>Lifts</t>
  </si>
  <si>
    <t>Lift Shaft Replacement (Savings)</t>
  </si>
  <si>
    <t>Carpeting and Furnishing</t>
  </si>
  <si>
    <t>Roof  Areas</t>
  </si>
  <si>
    <t xml:space="preserve">Flashings/Counter Flashings </t>
  </si>
  <si>
    <t>General Metal Roof Repairs</t>
  </si>
  <si>
    <t>General Tile Roof Repairs</t>
  </si>
  <si>
    <t>General Asbestos Roof Repairs</t>
  </si>
  <si>
    <t>item</t>
  </si>
  <si>
    <t>General Nutec Roof Repairs</t>
  </si>
  <si>
    <t>Cleaning &amp; Maintenance &amp; Repairs of Gutters and Downpipes</t>
  </si>
  <si>
    <t>lm</t>
  </si>
  <si>
    <t xml:space="preserve">Painting of Metal Roof Areas </t>
  </si>
  <si>
    <t>m2</t>
  </si>
  <si>
    <t>Painting of Tile Roof Areas (with out Profile)</t>
  </si>
  <si>
    <t>Painting of Asbestos Roof Areas (with out Profile)</t>
  </si>
  <si>
    <t>Painting of Nutec Roof Areas (with out Profile)</t>
  </si>
  <si>
    <t>Servicing of Roof Screws</t>
  </si>
  <si>
    <t>Refixing of Sheeting</t>
  </si>
  <si>
    <t>Replacement of Facia's, Bargeboard</t>
  </si>
  <si>
    <t>Reinstatement of Louvers</t>
  </si>
  <si>
    <t>Painting and Repairs</t>
  </si>
  <si>
    <t>Boundary  Walls and Repairs</t>
  </si>
  <si>
    <t>Exposed Tops</t>
  </si>
  <si>
    <t xml:space="preserve">Wall to Frame Sealant </t>
  </si>
  <si>
    <t xml:space="preserve">Glass to Frame Sealant </t>
  </si>
  <si>
    <t>All</t>
  </si>
  <si>
    <t>Putty Repairs</t>
  </si>
  <si>
    <t xml:space="preserve">Woodwork </t>
  </si>
  <si>
    <t>Steelwork Coating &amp; Putty Repairs</t>
  </si>
  <si>
    <t>Painting and Repairs of Brickwork (Unpainted)</t>
  </si>
  <si>
    <t>Brickwork Repairs</t>
  </si>
  <si>
    <t>Painted Floors</t>
  </si>
  <si>
    <t>Nutec Walls</t>
  </si>
  <si>
    <t>Internal Painting</t>
  </si>
  <si>
    <t>Internal Common Walls and Soffit Areas</t>
  </si>
  <si>
    <t>Basement Walls and Soffit Areas</t>
  </si>
  <si>
    <t>Cleaning of Cladding Panels</t>
  </si>
  <si>
    <t>Painting of Facais and Barge Boarding</t>
  </si>
  <si>
    <t>Painting External Wooden Soffits</t>
  </si>
  <si>
    <t>Palisade Fencing</t>
  </si>
  <si>
    <t>.</t>
  </si>
  <si>
    <t xml:space="preserve">Waterproofing </t>
  </si>
  <si>
    <t>Walkways andBalconies (Flood Testing)</t>
  </si>
  <si>
    <t>Dry Dock Area (Laying of Pavers)</t>
  </si>
  <si>
    <t xml:space="preserve">Flat Roof Service </t>
  </si>
  <si>
    <t>Flat Roof Replacement</t>
  </si>
  <si>
    <t xml:space="preserve">Parking Deck (Waterproofing) </t>
  </si>
  <si>
    <t>Communication and Service Supply Systems</t>
  </si>
  <si>
    <t>Intercom and Telcommunication System  (Maintain/Replace)</t>
  </si>
  <si>
    <t>Painting of Demarcation Lines</t>
  </si>
  <si>
    <t>Roadways and Paved Areas</t>
  </si>
  <si>
    <t>Tarmac Areas (Reinstaement/Replacement Savings)</t>
  </si>
  <si>
    <t xml:space="preserve">Concrete Areas </t>
  </si>
  <si>
    <t>Paved Areas (Reinstatement)</t>
  </si>
  <si>
    <t>Reinstatement of Walkways (Grouting and Tiles)</t>
  </si>
  <si>
    <t>Securicty Systems and Facilities</t>
  </si>
  <si>
    <t>Security Equipment (Replacement Savings)</t>
  </si>
  <si>
    <t>Fire Equipment and Signage (Maintain/Replace)</t>
  </si>
  <si>
    <t>Parking Nets Replacement &amp; Maintenance</t>
  </si>
  <si>
    <t>Laundary Area</t>
  </si>
  <si>
    <t>Bin Room</t>
  </si>
  <si>
    <t>Pool  &amp; Entertainment (Repair &amp; Maintain Savings to include pavers)</t>
  </si>
  <si>
    <t>E</t>
  </si>
  <si>
    <t>Total Per Year</t>
  </si>
  <si>
    <t>Please Note: The above figures are estimates only based on our experience, measures taken and current rates.  An 8% escalation has been allowed for per anum .  This pricing includes 14% VAT.  Some rates have furthermore been adjusted to try and accommodate P&amp;G's.  An allowance for THC to undertake an annual inspection in order to update the maintenance plan and budget should be allowed for.</t>
  </si>
  <si>
    <t>Gate</t>
  </si>
  <si>
    <t>Cleaning,Gutters</t>
  </si>
  <si>
    <t>Intercom</t>
  </si>
  <si>
    <t>KNIGHTSBRIDGE BODY CORPORATE</t>
  </si>
  <si>
    <t>PARKING BAYS</t>
  </si>
  <si>
    <t>%</t>
  </si>
  <si>
    <t>CSOS</t>
  </si>
  <si>
    <t>Sect</t>
  </si>
  <si>
    <t>M2</t>
  </si>
  <si>
    <t>Door</t>
  </si>
  <si>
    <t>PQ</t>
  </si>
  <si>
    <t>Current</t>
  </si>
  <si>
    <t>NEW</t>
  </si>
  <si>
    <t>NEW LEVY</t>
  </si>
  <si>
    <t xml:space="preserve"> </t>
  </si>
  <si>
    <t>002</t>
  </si>
  <si>
    <t>003</t>
  </si>
  <si>
    <t>004</t>
  </si>
  <si>
    <t>005</t>
  </si>
  <si>
    <t>No Number</t>
  </si>
  <si>
    <t>13 (BC)</t>
  </si>
  <si>
    <t>Rental</t>
  </si>
  <si>
    <t>Rent02</t>
  </si>
  <si>
    <t>New</t>
  </si>
  <si>
    <t>New Levy Per PQ</t>
  </si>
  <si>
    <t>APARTMENT/FLAT LEVY</t>
  </si>
  <si>
    <t>Sec</t>
  </si>
  <si>
    <t>STORE ROOM LEVY</t>
  </si>
  <si>
    <t>GARAGES LEVY</t>
  </si>
  <si>
    <t>SECURITY LEVY</t>
  </si>
  <si>
    <t>Storeroom 404</t>
  </si>
  <si>
    <t>Total Amended</t>
  </si>
  <si>
    <t>Pq</t>
  </si>
  <si>
    <t>Currently raised on Pastel</t>
  </si>
  <si>
    <t>LEVY SCHEDULE: JAN 2019 - DEC 2019</t>
  </si>
  <si>
    <t>YEAR 2019</t>
  </si>
  <si>
    <t>Fire</t>
  </si>
  <si>
    <t>Budget</t>
  </si>
  <si>
    <t>Bank Balance 31/12/2018</t>
  </si>
  <si>
    <t>25% Of Levies at 31/12/2018</t>
  </si>
  <si>
    <t>R 0.00</t>
  </si>
  <si>
    <t>R 52.30</t>
  </si>
  <si>
    <t>R 1,246.04</t>
  </si>
  <si>
    <t>R 1,002.08</t>
  </si>
  <si>
    <t>R 557.68</t>
  </si>
  <si>
    <t>R 1,402.90</t>
  </si>
  <si>
    <t>R 1,638.18</t>
  </si>
  <si>
    <t>R 496.67</t>
  </si>
  <si>
    <t>R 1,402.93</t>
  </si>
  <si>
    <t>R 1,228.66</t>
  </si>
  <si>
    <t>R 505.41</t>
  </si>
  <si>
    <t>R 549.00</t>
  </si>
  <si>
    <t>R 1,193.78</t>
  </si>
  <si>
    <t>R 1,002.12</t>
  </si>
  <si>
    <t>R 1,280.95</t>
  </si>
  <si>
    <t>R 1,246.08</t>
  </si>
  <si>
    <t>R 993.37</t>
  </si>
  <si>
    <t>R 2,378.88</t>
  </si>
  <si>
    <t>R 1,429.07</t>
  </si>
  <si>
    <t>R 496.70</t>
  </si>
  <si>
    <t>R 156.86</t>
  </si>
  <si>
    <t>KNIGHTSBRIDGE MANSIONS PQ LEVY</t>
  </si>
  <si>
    <t>For</t>
  </si>
  <si>
    <t>FLAT</t>
  </si>
  <si>
    <t>STORE ROOMS</t>
  </si>
  <si>
    <t>2nd STORE ROOMS</t>
  </si>
  <si>
    <t>GARAGES</t>
  </si>
  <si>
    <t>Total</t>
  </si>
  <si>
    <t>Old</t>
  </si>
  <si>
    <t>New PQ Based</t>
  </si>
  <si>
    <t>Sections</t>
  </si>
  <si>
    <t>Mnthly Levy</t>
  </si>
  <si>
    <t>Security Levy</t>
  </si>
  <si>
    <t>To be Collected</t>
  </si>
  <si>
    <t>47</t>
  </si>
  <si>
    <t>37</t>
  </si>
  <si>
    <t>38</t>
  </si>
  <si>
    <t>51</t>
  </si>
  <si>
    <t>39</t>
  </si>
  <si>
    <t>56</t>
  </si>
  <si>
    <t>48</t>
  </si>
  <si>
    <t>61</t>
  </si>
  <si>
    <t>49</t>
  </si>
  <si>
    <t>60</t>
  </si>
  <si>
    <t>57</t>
  </si>
  <si>
    <t>65</t>
  </si>
  <si>
    <t>40</t>
  </si>
  <si>
    <t>63</t>
  </si>
  <si>
    <t>46</t>
  </si>
  <si>
    <t>58</t>
  </si>
  <si>
    <t>62</t>
  </si>
  <si>
    <t>50</t>
  </si>
  <si>
    <t>64</t>
  </si>
  <si>
    <t>42</t>
  </si>
  <si>
    <t>52</t>
  </si>
  <si>
    <t>43</t>
  </si>
  <si>
    <t>55</t>
  </si>
  <si>
    <t>54</t>
  </si>
  <si>
    <t>44</t>
  </si>
  <si>
    <t>41</t>
  </si>
  <si>
    <t>53</t>
  </si>
  <si>
    <t>45</t>
  </si>
  <si>
    <t>Rented Room</t>
  </si>
  <si>
    <t>36</t>
  </si>
  <si>
    <t>Not recoverable</t>
  </si>
  <si>
    <t>B/C</t>
  </si>
  <si>
    <t>59</t>
  </si>
  <si>
    <t>26</t>
  </si>
  <si>
    <t>2</t>
  </si>
  <si>
    <t>S/B</t>
  </si>
  <si>
    <t>Factor</t>
  </si>
  <si>
    <t>Total Sections Registered</t>
  </si>
  <si>
    <t>Levy</t>
  </si>
  <si>
    <t>Extra</t>
  </si>
  <si>
    <t>Income</t>
  </si>
  <si>
    <t>Monthly</t>
  </si>
  <si>
    <t>Security</t>
  </si>
  <si>
    <t>Flat</t>
  </si>
  <si>
    <t>Garage</t>
  </si>
  <si>
    <t>CSOS Levy</t>
  </si>
  <si>
    <t>Monthly Budget</t>
  </si>
  <si>
    <t>Monthly Security Charge</t>
  </si>
  <si>
    <t>Check Sum</t>
  </si>
  <si>
    <t>Building R/M</t>
  </si>
  <si>
    <t>Window Repairs</t>
  </si>
  <si>
    <t>Security Maintenance</t>
  </si>
  <si>
    <t>2019 Total</t>
  </si>
  <si>
    <t>Charge</t>
  </si>
  <si>
    <t>EUA Park</t>
  </si>
  <si>
    <t>or Garage</t>
  </si>
  <si>
    <t>Store Room 1</t>
  </si>
  <si>
    <t>Store Room 2</t>
  </si>
  <si>
    <t>2 Body Corporate Sections</t>
  </si>
  <si>
    <t>2018 Total</t>
  </si>
  <si>
    <t>10% Increase</t>
  </si>
  <si>
    <t>Parking Bay &amp; Garage EUA Levies</t>
  </si>
  <si>
    <t>Petty Cash - Building Materials/Repairs</t>
  </si>
  <si>
    <t>10% increase</t>
  </si>
  <si>
    <t>Note: Security will only increase in Aug/Sept</t>
  </si>
  <si>
    <t>OK if R0</t>
  </si>
  <si>
    <t>EUA</t>
  </si>
  <si>
    <t>10% Inc</t>
  </si>
  <si>
    <t>Other</t>
  </si>
  <si>
    <t>For 4th Floor Bathroom</t>
  </si>
  <si>
    <t>10 Year Plan</t>
  </si>
  <si>
    <t>Proposed Budget For The Year Ended 31 December 2020</t>
  </si>
  <si>
    <t>Carpeting and Fittings (Common Areas)</t>
  </si>
  <si>
    <t>Roof Waterproofing</t>
  </si>
  <si>
    <t>General Electrical &amp; Lighting, Gate</t>
  </si>
  <si>
    <t>CCTV &amp; Security</t>
  </si>
  <si>
    <t>Collected Seperately on Levy Statement</t>
  </si>
  <si>
    <t>10 Year Plan Levy</t>
  </si>
  <si>
    <t>-</t>
  </si>
  <si>
    <t>Jan 20</t>
  </si>
  <si>
    <t>Feb 20</t>
  </si>
  <si>
    <t>Mar 20</t>
  </si>
  <si>
    <t>Apr 20</t>
  </si>
  <si>
    <t>May 20</t>
  </si>
  <si>
    <t>Levy Flat</t>
  </si>
  <si>
    <t>Half in 2021</t>
  </si>
  <si>
    <t>Half paint 2020</t>
  </si>
  <si>
    <t>10 Year</t>
  </si>
  <si>
    <t>Levy Breakdown Per Owner Based on 2020 Monthly Budget IF APPROVED at AGM 2019 for the 2020 year</t>
  </si>
  <si>
    <t>2020 Year Levy Budget</t>
  </si>
  <si>
    <t>A</t>
  </si>
  <si>
    <t>B</t>
  </si>
  <si>
    <t>We propose to raise only half the building painting in 2020 and the other half in 2021</t>
  </si>
  <si>
    <t>C</t>
  </si>
  <si>
    <t>Jun 20</t>
  </si>
  <si>
    <t>Jul 20</t>
  </si>
  <si>
    <t>Aug 20</t>
  </si>
  <si>
    <t>Sep 20</t>
  </si>
  <si>
    <t>Oct 20</t>
  </si>
  <si>
    <t>Nov 20</t>
  </si>
  <si>
    <t>Dec 20</t>
  </si>
  <si>
    <t>bank</t>
  </si>
  <si>
    <t>clean</t>
  </si>
  <si>
    <t>csos exp</t>
  </si>
  <si>
    <t>CSOS Contribution</t>
  </si>
  <si>
    <t>security</t>
  </si>
  <si>
    <t>elec</t>
  </si>
  <si>
    <t>4 mths ave</t>
  </si>
  <si>
    <t>rates</t>
  </si>
  <si>
    <t>water</t>
  </si>
  <si>
    <t>refuse</t>
  </si>
  <si>
    <t>sew</t>
  </si>
  <si>
    <t>Lift main</t>
  </si>
  <si>
    <t>Manag</t>
  </si>
  <si>
    <t>Pest</t>
  </si>
  <si>
    <t>print</t>
  </si>
  <si>
    <t>Petty cash</t>
  </si>
  <si>
    <t>rep and maint gen</t>
  </si>
  <si>
    <t>Rep and maint paint</t>
  </si>
  <si>
    <t>Proff fees</t>
  </si>
  <si>
    <t>rep and maint plumb</t>
  </si>
  <si>
    <t>Garden Service/maint</t>
  </si>
  <si>
    <t>Tel</t>
  </si>
  <si>
    <t>fire equip</t>
  </si>
  <si>
    <t>agm exp</t>
  </si>
  <si>
    <t>levies paid</t>
  </si>
  <si>
    <t>Pension</t>
  </si>
  <si>
    <t>Actual</t>
  </si>
  <si>
    <t>per month</t>
  </si>
  <si>
    <t>done</t>
  </si>
  <si>
    <t>Cleaning Contract</t>
  </si>
  <si>
    <t>In Above line item</t>
  </si>
  <si>
    <t>We only have to raise R240 for the rest of the roof work acording to THC R540k neded and the R750 raised already</t>
  </si>
  <si>
    <t>Lift Maintenance Contract</t>
  </si>
  <si>
    <t>Garden Service Contract</t>
  </si>
  <si>
    <t>Collected</t>
  </si>
  <si>
    <t>PQ Based</t>
  </si>
  <si>
    <t>Notes: PROPOSALS to Owners at AGM</t>
  </si>
  <si>
    <t>10 Year Maintenance MR&amp;R</t>
  </si>
  <si>
    <t>We will use R300K from the maintainance reserve towards the 2020 years work i.e. we will remove from Savings Account and apply to the budget</t>
  </si>
  <si>
    <t>Mels investigation of costs from Management accounts</t>
  </si>
  <si>
    <t>Plan</t>
  </si>
  <si>
    <t>Must = top</t>
  </si>
  <si>
    <t>Levy Breakdown Per Owner Based on 2020 Monthly Budget IF APPROVED at AGM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</si>
</sst>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R&quot;* #,##0.00_);_(&quot;R&quot;* \(#,##0.00\);_(&quot;R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R&quot;\ #,##0.00;[Red]&quot;R&quot;\ \-#,##0.00"/>
    <numFmt numFmtId="166" formatCode="_ * #,##0_ ;_ * \-#,##0_ ;_ * &quot;-&quot;_ ;_ @_ 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#,##0.00;\(#,##0.00\)"/>
    <numFmt numFmtId="170" formatCode="&quot;$&quot;#,##0.00;\(&quot;$&quot;#,##0.00\)"/>
    <numFmt numFmtId="171" formatCode="###0.0%;\(###0.0%\)"/>
    <numFmt numFmtId="172" formatCode="_ * #,##0.00_ ;_ * \(#,##0.00\)\ ;_ * &quot;-&quot;??_ ;_ @_ "/>
    <numFmt numFmtId="173" formatCode="0.0"/>
    <numFmt numFmtId="174" formatCode="_ &quot;R&quot;\ * #,##0.00000000_ ;_ &quot;R&quot;\ * \-#,##0.00000000_ ;_ &quot;R&quot;\ * &quot;-&quot;??_ ;_ @_ "/>
    <numFmt numFmtId="175" formatCode="_ * #,##0.00000_ ;_ * \-#,##0.00000_ ;_ * &quot;-&quot;??_ ;_ @_ "/>
    <numFmt numFmtId="176" formatCode="&quot;R&quot;\ #,##0.00"/>
    <numFmt numFmtId="177" formatCode="_ * #,##0.0000_ ;_ * \-#,##0.0000_ ;_ * &quot;-&quot;??_ ;_ @_ "/>
    <numFmt numFmtId="178" formatCode="#,##0_ ;\-#,##0\ "/>
    <numFmt numFmtId="179" formatCode="#,##0.0000"/>
    <numFmt numFmtId="180" formatCode="&quot;R&quot;#,##0.00"/>
    <numFmt numFmtId="181" formatCode="#,##0.0000000"/>
    <numFmt numFmtId="182" formatCode="0.0000"/>
    <numFmt numFmtId="183" formatCode="0.00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3"/>
      <color rgb="FF4D4F53"/>
      <name val="Segoe UI Light"/>
      <family val="2"/>
    </font>
    <font>
      <sz val="14"/>
      <color rgb="FF4D4F53"/>
      <name val="Segoe UI Light"/>
      <family val="2"/>
    </font>
    <font>
      <sz val="10"/>
      <color indexed="0"/>
      <name val="Arial"/>
      <family val="2"/>
    </font>
    <font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sz val="12"/>
      <color indexed="0"/>
      <name val="Times New Roman"/>
      <family val="1"/>
    </font>
    <font>
      <sz val="12"/>
      <color indexed="0"/>
      <name val="Times New Roman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indexed="56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FF0000"/>
      <name val="Century Gothic"/>
      <family val="2"/>
    </font>
    <font>
      <b/>
      <sz val="24"/>
      <color rgb="FFFF0000"/>
      <name val="Century Gothic"/>
      <family val="2"/>
    </font>
    <font>
      <b/>
      <sz val="16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u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b/>
      <sz val="12"/>
      <color theme="0"/>
      <name val="Century Gothic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Arial"/>
      <family val="2"/>
    </font>
    <font>
      <sz val="10"/>
      <color theme="3" tint="0.59999389629810485"/>
      <name val="Arial"/>
      <family val="2"/>
    </font>
    <font>
      <sz val="10"/>
      <color theme="4" tint="0.39997558519241921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 Narrow"/>
      <family val="2"/>
    </font>
    <font>
      <sz val="2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169" fontId="7" fillId="0" borderId="0"/>
    <xf numFmtId="170" fontId="7" fillId="0" borderId="0"/>
    <xf numFmtId="171" fontId="7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2">
    <xf numFmtId="0" fontId="0" fillId="0" borderId="0" xfId="0"/>
    <xf numFmtId="0" fontId="12" fillId="0" borderId="0" xfId="0" applyFont="1"/>
    <xf numFmtId="0" fontId="13" fillId="0" borderId="0" xfId="0" applyFont="1"/>
    <xf numFmtId="172" fontId="12" fillId="0" borderId="0" xfId="0" applyNumberFormat="1" applyFont="1"/>
    <xf numFmtId="0" fontId="14" fillId="0" borderId="0" xfId="0" applyFont="1"/>
    <xf numFmtId="0" fontId="16" fillId="0" borderId="0" xfId="1" applyFont="1"/>
    <xf numFmtId="0" fontId="15" fillId="2" borderId="4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7" fillId="0" borderId="0" xfId="1" applyFont="1"/>
    <xf numFmtId="172" fontId="16" fillId="0" borderId="0" xfId="1" applyNumberFormat="1" applyFont="1"/>
    <xf numFmtId="172" fontId="16" fillId="0" borderId="0" xfId="1" applyNumberFormat="1" applyFont="1" applyBorder="1"/>
    <xf numFmtId="172" fontId="16" fillId="3" borderId="0" xfId="1" applyNumberFormat="1" applyFont="1" applyFill="1" applyBorder="1"/>
    <xf numFmtId="0" fontId="18" fillId="0" borderId="0" xfId="1" applyFont="1"/>
    <xf numFmtId="172" fontId="18" fillId="0" borderId="0" xfId="1" applyNumberFormat="1" applyFont="1"/>
    <xf numFmtId="172" fontId="16" fillId="0" borderId="9" xfId="1" applyNumberFormat="1" applyFont="1" applyBorder="1"/>
    <xf numFmtId="0" fontId="17" fillId="0" borderId="0" xfId="1" applyFont="1" applyFill="1" applyBorder="1"/>
    <xf numFmtId="172" fontId="17" fillId="3" borderId="16" xfId="1" applyNumberFormat="1" applyFont="1" applyFill="1" applyBorder="1"/>
    <xf numFmtId="172" fontId="13" fillId="3" borderId="16" xfId="0" applyNumberFormat="1" applyFont="1" applyFill="1" applyBorder="1"/>
    <xf numFmtId="172" fontId="16" fillId="0" borderId="32" xfId="1" applyNumberFormat="1" applyFont="1" applyBorder="1"/>
    <xf numFmtId="172" fontId="16" fillId="0" borderId="34" xfId="1" applyNumberFormat="1" applyFont="1" applyBorder="1"/>
    <xf numFmtId="172" fontId="17" fillId="3" borderId="4" xfId="1" applyNumberFormat="1" applyFont="1" applyFill="1" applyBorder="1"/>
    <xf numFmtId="172" fontId="17" fillId="3" borderId="17" xfId="1" applyNumberFormat="1" applyFont="1" applyFill="1" applyBorder="1"/>
    <xf numFmtId="172" fontId="17" fillId="3" borderId="24" xfId="1" applyNumberFormat="1" applyFont="1" applyFill="1" applyBorder="1"/>
    <xf numFmtId="172" fontId="17" fillId="3" borderId="3" xfId="1" applyNumberFormat="1" applyFont="1" applyFill="1" applyBorder="1"/>
    <xf numFmtId="172" fontId="18" fillId="3" borderId="16" xfId="1" applyNumberFormat="1" applyFont="1" applyFill="1" applyBorder="1"/>
    <xf numFmtId="172" fontId="13" fillId="3" borderId="22" xfId="0" applyNumberFormat="1" applyFont="1" applyFill="1" applyBorder="1"/>
    <xf numFmtId="0" fontId="0" fillId="0" borderId="22" xfId="0" applyBorder="1" applyProtection="1">
      <protection hidden="1"/>
    </xf>
    <xf numFmtId="173" fontId="19" fillId="0" borderId="0" xfId="0" applyNumberFormat="1" applyFont="1" applyFill="1" applyBorder="1" applyAlignment="1" applyProtection="1">
      <alignment horizontal="center"/>
      <protection hidden="1"/>
    </xf>
    <xf numFmtId="0" fontId="20" fillId="0" borderId="0" xfId="0" applyFont="1" applyProtection="1">
      <protection hidden="1"/>
    </xf>
    <xf numFmtId="0" fontId="20" fillId="0" borderId="0" xfId="0" applyFont="1" applyBorder="1" applyProtection="1"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Protection="1">
      <protection hidden="1"/>
    </xf>
    <xf numFmtId="0" fontId="21" fillId="4" borderId="24" xfId="0" applyFont="1" applyFill="1" applyBorder="1" applyAlignment="1" applyProtection="1">
      <alignment vertical="center" wrapText="1"/>
      <protection hidden="1"/>
    </xf>
    <xf numFmtId="0" fontId="23" fillId="0" borderId="18" xfId="0" applyFont="1" applyBorder="1" applyAlignment="1" applyProtection="1">
      <alignment vertical="center"/>
      <protection hidden="1"/>
    </xf>
    <xf numFmtId="0" fontId="21" fillId="4" borderId="25" xfId="0" applyFont="1" applyFill="1" applyBorder="1" applyAlignment="1" applyProtection="1">
      <alignment vertical="center" wrapText="1"/>
      <protection hidden="1"/>
    </xf>
    <xf numFmtId="0" fontId="21" fillId="0" borderId="20" xfId="0" applyFont="1" applyFill="1" applyBorder="1" applyAlignment="1" applyProtection="1">
      <alignment vertical="center" wrapText="1"/>
      <protection hidden="1"/>
    </xf>
    <xf numFmtId="0" fontId="21" fillId="4" borderId="0" xfId="0" applyFont="1" applyFill="1" applyBorder="1" applyAlignment="1" applyProtection="1">
      <alignment vertical="center" wrapText="1"/>
      <protection hidden="1"/>
    </xf>
    <xf numFmtId="0" fontId="21" fillId="4" borderId="6" xfId="0" applyFont="1" applyFill="1" applyBorder="1" applyAlignment="1" applyProtection="1">
      <alignment vertical="center" wrapText="1"/>
      <protection hidden="1"/>
    </xf>
    <xf numFmtId="0" fontId="23" fillId="0" borderId="22" xfId="0" applyFont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6" fillId="5" borderId="27" xfId="0" applyFont="1" applyFill="1" applyBorder="1" applyAlignment="1" applyProtection="1">
      <alignment vertical="center"/>
      <protection hidden="1"/>
    </xf>
    <xf numFmtId="0" fontId="26" fillId="5" borderId="28" xfId="0" applyFont="1" applyFill="1" applyBorder="1" applyAlignment="1" applyProtection="1">
      <alignment vertical="center"/>
      <protection hidden="1"/>
    </xf>
    <xf numFmtId="173" fontId="27" fillId="0" borderId="2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5" xfId="0" applyFont="1" applyFill="1" applyBorder="1" applyAlignment="1" applyProtection="1">
      <alignment horizontal="center" vertical="center"/>
      <protection hidden="1"/>
    </xf>
    <xf numFmtId="0" fontId="28" fillId="4" borderId="25" xfId="0" applyFont="1" applyFill="1" applyBorder="1" applyAlignment="1" applyProtection="1">
      <alignment vertical="center" wrapText="1"/>
      <protection hidden="1"/>
    </xf>
    <xf numFmtId="0" fontId="29" fillId="0" borderId="22" xfId="0" applyFont="1" applyFill="1" applyBorder="1" applyAlignment="1" applyProtection="1">
      <alignment vertical="center"/>
      <protection hidden="1"/>
    </xf>
    <xf numFmtId="0" fontId="29" fillId="0" borderId="23" xfId="0" applyFont="1" applyFill="1" applyBorder="1" applyAlignment="1" applyProtection="1">
      <alignment vertical="center"/>
      <protection hidden="1"/>
    </xf>
    <xf numFmtId="173" fontId="27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3" xfId="0" applyFont="1" applyBorder="1" applyAlignment="1" applyProtection="1">
      <alignment horizontal="center"/>
      <protection hidden="1"/>
    </xf>
    <xf numFmtId="0" fontId="27" fillId="0" borderId="22" xfId="0" applyFont="1" applyFill="1" applyBorder="1" applyAlignment="1" applyProtection="1">
      <alignment horizontal="center"/>
      <protection hidden="1"/>
    </xf>
    <xf numFmtId="0" fontId="27" fillId="0" borderId="4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21" fillId="4" borderId="21" xfId="0" applyFont="1" applyFill="1" applyBorder="1" applyAlignment="1" applyProtection="1">
      <alignment vertical="center" wrapText="1"/>
      <protection hidden="1"/>
    </xf>
    <xf numFmtId="0" fontId="31" fillId="0" borderId="12" xfId="0" applyFont="1" applyBorder="1" applyAlignment="1" applyProtection="1">
      <alignment horizontal="center" vertical="center"/>
      <protection hidden="1"/>
    </xf>
    <xf numFmtId="173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4" xfId="0" applyFont="1" applyBorder="1" applyAlignment="1" applyProtection="1">
      <protection hidden="1"/>
    </xf>
    <xf numFmtId="0" fontId="30" fillId="4" borderId="18" xfId="0" applyFont="1" applyFill="1" applyBorder="1" applyAlignment="1" applyProtection="1">
      <protection hidden="1"/>
    </xf>
    <xf numFmtId="0" fontId="30" fillId="0" borderId="18" xfId="0" applyFont="1" applyBorder="1" applyAlignment="1" applyProtection="1">
      <protection hidden="1"/>
    </xf>
    <xf numFmtId="0" fontId="30" fillId="0" borderId="19" xfId="0" applyFont="1" applyBorder="1" applyAlignment="1" applyProtection="1">
      <protection hidden="1"/>
    </xf>
    <xf numFmtId="0" fontId="32" fillId="4" borderId="18" xfId="0" applyFont="1" applyFill="1" applyBorder="1" applyAlignment="1" applyProtection="1">
      <protection hidden="1"/>
    </xf>
    <xf numFmtId="0" fontId="32" fillId="0" borderId="18" xfId="0" applyFont="1" applyFill="1" applyBorder="1" applyAlignment="1" applyProtection="1">
      <protection hidden="1"/>
    </xf>
    <xf numFmtId="0" fontId="27" fillId="0" borderId="4" xfId="0" applyFont="1" applyBorder="1" applyAlignment="1" applyProtection="1">
      <alignment horizontal="center"/>
      <protection hidden="1"/>
    </xf>
    <xf numFmtId="0" fontId="28" fillId="0" borderId="27" xfId="0" applyFont="1" applyBorder="1" applyAlignment="1" applyProtection="1">
      <protection hidden="1"/>
    </xf>
    <xf numFmtId="0" fontId="28" fillId="0" borderId="28" xfId="0" applyFont="1" applyBorder="1" applyAlignment="1" applyProtection="1">
      <protection hidden="1"/>
    </xf>
    <xf numFmtId="0" fontId="21" fillId="0" borderId="3" xfId="0" applyFont="1" applyBorder="1" applyAlignment="1" applyProtection="1">
      <protection hidden="1"/>
    </xf>
    <xf numFmtId="0" fontId="21" fillId="0" borderId="27" xfId="0" applyFont="1" applyBorder="1" applyAlignment="1" applyProtection="1">
      <protection hidden="1"/>
    </xf>
    <xf numFmtId="0" fontId="21" fillId="0" borderId="28" xfId="0" applyFont="1" applyBorder="1" applyAlignment="1" applyProtection="1">
      <protection hidden="1"/>
    </xf>
    <xf numFmtId="0" fontId="28" fillId="0" borderId="25" xfId="0" applyFont="1" applyBorder="1" applyAlignment="1" applyProtection="1">
      <alignment horizontal="left"/>
      <protection hidden="1"/>
    </xf>
    <xf numFmtId="0" fontId="28" fillId="0" borderId="25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center"/>
      <protection hidden="1"/>
    </xf>
    <xf numFmtId="165" fontId="28" fillId="0" borderId="25" xfId="0" applyNumberFormat="1" applyFont="1" applyBorder="1" applyAlignment="1" applyProtection="1">
      <alignment horizontal="center"/>
      <protection hidden="1"/>
    </xf>
    <xf numFmtId="165" fontId="28" fillId="0" borderId="2" xfId="0" applyNumberFormat="1" applyFont="1" applyBorder="1" applyAlignment="1" applyProtection="1">
      <alignment horizontal="center"/>
      <protection hidden="1"/>
    </xf>
    <xf numFmtId="165" fontId="21" fillId="0" borderId="20" xfId="0" applyNumberFormat="1" applyFont="1" applyFill="1" applyBorder="1" applyAlignment="1" applyProtection="1">
      <alignment vertical="center" wrapText="1"/>
      <protection hidden="1"/>
    </xf>
    <xf numFmtId="0" fontId="21" fillId="0" borderId="21" xfId="0" applyFont="1" applyFill="1" applyBorder="1" applyAlignment="1" applyProtection="1">
      <alignment horizontal="center"/>
      <protection hidden="1"/>
    </xf>
    <xf numFmtId="0" fontId="21" fillId="0" borderId="25" xfId="0" applyFont="1" applyBorder="1" applyAlignment="1" applyProtection="1">
      <alignment horizontal="center"/>
      <protection hidden="1"/>
    </xf>
    <xf numFmtId="165" fontId="21" fillId="0" borderId="25" xfId="0" applyNumberFormat="1" applyFont="1" applyBorder="1" applyAlignment="1" applyProtection="1">
      <alignment horizontal="center"/>
      <protection hidden="1"/>
    </xf>
    <xf numFmtId="165" fontId="21" fillId="0" borderId="2" xfId="0" applyNumberFormat="1" applyFont="1" applyBorder="1" applyAlignment="1" applyProtection="1">
      <alignment horizontal="center"/>
      <protection hidden="1"/>
    </xf>
    <xf numFmtId="165" fontId="28" fillId="0" borderId="0" xfId="0" applyNumberFormat="1" applyFont="1" applyBorder="1" applyAlignment="1" applyProtection="1">
      <alignment horizontal="center"/>
      <protection hidden="1"/>
    </xf>
    <xf numFmtId="0" fontId="21" fillId="0" borderId="25" xfId="0" applyFont="1" applyFill="1" applyBorder="1" applyAlignment="1" applyProtection="1">
      <alignment horizontal="center"/>
      <protection hidden="1"/>
    </xf>
    <xf numFmtId="165" fontId="21" fillId="0" borderId="0" xfId="0" applyNumberFormat="1" applyFont="1" applyBorder="1" applyAlignment="1" applyProtection="1">
      <alignment horizontal="center"/>
      <protection hidden="1"/>
    </xf>
    <xf numFmtId="0" fontId="27" fillId="0" borderId="6" xfId="0" applyFont="1" applyFill="1" applyBorder="1" applyAlignment="1" applyProtection="1">
      <alignment vertical="center"/>
      <protection hidden="1"/>
    </xf>
    <xf numFmtId="0" fontId="27" fillId="0" borderId="18" xfId="0" applyFont="1" applyFill="1" applyBorder="1" applyAlignment="1" applyProtection="1">
      <alignment vertical="center"/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0" xfId="0" applyFont="1" applyFill="1"/>
    <xf numFmtId="0" fontId="27" fillId="0" borderId="4" xfId="0" applyFont="1" applyFill="1" applyBorder="1" applyAlignment="1" applyProtection="1">
      <alignment horizontal="center"/>
      <protection hidden="1"/>
    </xf>
    <xf numFmtId="2" fontId="0" fillId="0" borderId="0" xfId="0" applyNumberFormat="1"/>
    <xf numFmtId="0" fontId="28" fillId="0" borderId="0" xfId="0" applyFont="1" applyFill="1" applyBorder="1" applyAlignment="1" applyProtection="1">
      <alignment horizontal="center"/>
      <protection hidden="1"/>
    </xf>
    <xf numFmtId="165" fontId="28" fillId="0" borderId="44" xfId="0" applyNumberFormat="1" applyFont="1" applyBorder="1" applyAlignment="1" applyProtection="1">
      <alignment horizontal="center"/>
      <protection hidden="1"/>
    </xf>
    <xf numFmtId="0" fontId="21" fillId="0" borderId="6" xfId="0" applyFont="1" applyBorder="1" applyAlignment="1" applyProtection="1">
      <alignment horizontal="center"/>
      <protection hidden="1"/>
    </xf>
    <xf numFmtId="165" fontId="21" fillId="0" borderId="6" xfId="0" applyNumberFormat="1" applyFont="1" applyBorder="1" applyAlignment="1" applyProtection="1">
      <alignment horizontal="center"/>
      <protection hidden="1"/>
    </xf>
    <xf numFmtId="0" fontId="28" fillId="0" borderId="20" xfId="0" applyFont="1" applyFill="1" applyBorder="1" applyAlignment="1" applyProtection="1">
      <alignment horizontal="center"/>
      <protection hidden="1"/>
    </xf>
    <xf numFmtId="0" fontId="27" fillId="0" borderId="20" xfId="0" applyFont="1" applyFill="1" applyBorder="1" applyAlignment="1" applyProtection="1">
      <alignment vertical="center"/>
      <protection hidden="1"/>
    </xf>
    <xf numFmtId="2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165" fontId="21" fillId="0" borderId="21" xfId="0" applyNumberFormat="1" applyFont="1" applyBorder="1" applyAlignment="1" applyProtection="1">
      <alignment horizontal="center"/>
      <protection hidden="1"/>
    </xf>
    <xf numFmtId="167" fontId="0" fillId="0" borderId="0" xfId="0" applyNumberFormat="1"/>
    <xf numFmtId="174" fontId="0" fillId="0" borderId="0" xfId="0" applyNumberFormat="1"/>
    <xf numFmtId="173" fontId="33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21" fillId="6" borderId="21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/>
      <protection hidden="1"/>
    </xf>
    <xf numFmtId="165" fontId="28" fillId="0" borderId="23" xfId="0" applyNumberFormat="1" applyFont="1" applyBorder="1" applyAlignment="1" applyProtection="1">
      <alignment horizontal="center"/>
      <protection hidden="1"/>
    </xf>
    <xf numFmtId="0" fontId="21" fillId="0" borderId="21" xfId="0" applyFont="1" applyBorder="1" applyAlignment="1" applyProtection="1">
      <alignment horizontal="center"/>
      <protection hidden="1"/>
    </xf>
    <xf numFmtId="173" fontId="27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28" fillId="5" borderId="5" xfId="0" applyFont="1" applyFill="1" applyBorder="1" applyProtection="1">
      <protection hidden="1"/>
    </xf>
    <xf numFmtId="0" fontId="28" fillId="4" borderId="6" xfId="0" applyFont="1" applyFill="1" applyBorder="1" applyAlignment="1" applyProtection="1">
      <alignment vertical="center" wrapText="1"/>
      <protection hidden="1"/>
    </xf>
    <xf numFmtId="0" fontId="21" fillId="0" borderId="17" xfId="0" applyFont="1" applyFill="1" applyBorder="1" applyAlignment="1" applyProtection="1">
      <alignment vertical="center" wrapText="1"/>
      <protection hidden="1"/>
    </xf>
    <xf numFmtId="0" fontId="0" fillId="0" borderId="27" xfId="0" applyFill="1" applyBorder="1" applyProtection="1">
      <protection hidden="1"/>
    </xf>
    <xf numFmtId="0" fontId="0" fillId="0" borderId="28" xfId="0" applyFill="1" applyBorder="1" applyProtection="1">
      <protection hidden="1"/>
    </xf>
    <xf numFmtId="0" fontId="28" fillId="0" borderId="0" xfId="0" applyFont="1" applyFill="1" applyAlignment="1" applyProtection="1">
      <protection hidden="1"/>
    </xf>
    <xf numFmtId="0" fontId="28" fillId="0" borderId="0" xfId="0" applyFont="1" applyFill="1" applyAlignment="1"/>
    <xf numFmtId="173" fontId="19" fillId="0" borderId="0" xfId="0" applyNumberFormat="1" applyFont="1" applyFill="1" applyAlignment="1" applyProtection="1">
      <alignment horizontal="center"/>
      <protection hidden="1"/>
    </xf>
    <xf numFmtId="173" fontId="19" fillId="0" borderId="0" xfId="0" applyNumberFormat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2" fontId="13" fillId="3" borderId="3" xfId="0" applyNumberFormat="1" applyFont="1" applyFill="1" applyBorder="1"/>
    <xf numFmtId="0" fontId="13" fillId="0" borderId="0" xfId="0" applyFont="1" applyFill="1"/>
    <xf numFmtId="1" fontId="35" fillId="0" borderId="0" xfId="0" applyNumberFormat="1" applyFont="1" applyAlignment="1">
      <alignment horizontal="center"/>
    </xf>
    <xf numFmtId="0" fontId="3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/>
    <xf numFmtId="176" fontId="4" fillId="0" borderId="0" xfId="28" applyNumberFormat="1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29" applyFont="1" applyAlignment="1">
      <alignment horizontal="center"/>
    </xf>
    <xf numFmtId="0" fontId="36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76" fontId="35" fillId="0" borderId="0" xfId="0" applyNumberFormat="1" applyFont="1" applyAlignment="1">
      <alignment horizontal="right"/>
    </xf>
    <xf numFmtId="176" fontId="35" fillId="0" borderId="0" xfId="0" applyNumberFormat="1" applyFont="1" applyAlignment="1"/>
    <xf numFmtId="175" fontId="4" fillId="0" borderId="0" xfId="28" applyNumberFormat="1" applyFont="1" applyAlignment="1">
      <alignment horizontal="right"/>
    </xf>
    <xf numFmtId="0" fontId="42" fillId="0" borderId="0" xfId="0" applyFont="1"/>
    <xf numFmtId="49" fontId="35" fillId="0" borderId="0" xfId="0" applyNumberFormat="1" applyFont="1" applyAlignment="1">
      <alignment horizontal="center"/>
    </xf>
    <xf numFmtId="175" fontId="35" fillId="0" borderId="0" xfId="28" applyNumberFormat="1" applyFont="1" applyAlignment="1">
      <alignment horizontal="right"/>
    </xf>
    <xf numFmtId="176" fontId="35" fillId="0" borderId="0" xfId="28" applyNumberFormat="1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center"/>
    </xf>
    <xf numFmtId="1" fontId="36" fillId="0" borderId="0" xfId="0" applyNumberFormat="1" applyFont="1" applyAlignment="1">
      <alignment horizontal="center"/>
    </xf>
    <xf numFmtId="0" fontId="36" fillId="0" borderId="0" xfId="0" applyNumberFormat="1" applyFont="1" applyAlignment="1">
      <alignment horizontal="center"/>
    </xf>
    <xf numFmtId="176" fontId="36" fillId="0" borderId="0" xfId="0" applyNumberFormat="1" applyFont="1" applyAlignment="1">
      <alignment horizontal="right"/>
    </xf>
    <xf numFmtId="175" fontId="36" fillId="0" borderId="0" xfId="28" applyNumberFormat="1" applyFont="1" applyAlignment="1">
      <alignment horizontal="center"/>
    </xf>
    <xf numFmtId="176" fontId="36" fillId="0" borderId="0" xfId="0" applyNumberFormat="1" applyFont="1" applyAlignment="1"/>
    <xf numFmtId="176" fontId="36" fillId="0" borderId="0" xfId="28" applyNumberFormat="1" applyFont="1" applyAlignment="1">
      <alignment horizontal="right"/>
    </xf>
    <xf numFmtId="176" fontId="36" fillId="0" borderId="0" xfId="0" applyNumberFormat="1" applyFont="1"/>
    <xf numFmtId="166" fontId="36" fillId="0" borderId="0" xfId="0" applyNumberFormat="1" applyFont="1"/>
    <xf numFmtId="179" fontId="4" fillId="0" borderId="0" xfId="28" applyNumberFormat="1" applyFont="1" applyAlignment="1">
      <alignment horizontal="right"/>
    </xf>
    <xf numFmtId="179" fontId="35" fillId="0" borderId="0" xfId="28" applyNumberFormat="1" applyFont="1" applyAlignment="1">
      <alignment horizontal="right"/>
    </xf>
    <xf numFmtId="179" fontId="36" fillId="0" borderId="0" xfId="28" applyNumberFormat="1" applyFont="1" applyAlignment="1">
      <alignment horizontal="center"/>
    </xf>
    <xf numFmtId="0" fontId="36" fillId="6" borderId="0" xfId="0" applyFont="1" applyFill="1"/>
    <xf numFmtId="0" fontId="36" fillId="0" borderId="0" xfId="0" applyFont="1" applyFill="1"/>
    <xf numFmtId="4" fontId="36" fillId="0" borderId="0" xfId="0" applyNumberFormat="1" applyFont="1"/>
    <xf numFmtId="4" fontId="36" fillId="0" borderId="0" xfId="0" applyNumberFormat="1" applyFont="1" applyAlignment="1">
      <alignment horizontal="center"/>
    </xf>
    <xf numFmtId="4" fontId="36" fillId="0" borderId="0" xfId="28" applyNumberFormat="1" applyFont="1" applyAlignment="1">
      <alignment horizontal="center"/>
    </xf>
    <xf numFmtId="4" fontId="36" fillId="0" borderId="0" xfId="0" applyNumberFormat="1" applyFont="1" applyAlignment="1">
      <alignment horizontal="right"/>
    </xf>
    <xf numFmtId="4" fontId="36" fillId="0" borderId="0" xfId="0" applyNumberFormat="1" applyFont="1" applyAlignment="1"/>
    <xf numFmtId="4" fontId="36" fillId="0" borderId="0" xfId="28" applyNumberFormat="1" applyFont="1" applyAlignment="1">
      <alignment horizontal="right"/>
    </xf>
    <xf numFmtId="4" fontId="4" fillId="0" borderId="0" xfId="28" applyNumberFormat="1" applyFont="1" applyAlignment="1">
      <alignment horizontal="center"/>
    </xf>
    <xf numFmtId="4" fontId="35" fillId="0" borderId="0" xfId="28" applyNumberFormat="1" applyFont="1" applyAlignment="1">
      <alignment horizontal="center"/>
    </xf>
    <xf numFmtId="176" fontId="35" fillId="7" borderId="4" xfId="28" applyNumberFormat="1" applyFont="1" applyFill="1" applyBorder="1" applyAlignment="1">
      <alignment horizontal="right"/>
    </xf>
    <xf numFmtId="0" fontId="36" fillId="0" borderId="0" xfId="0" applyFont="1" applyAlignment="1">
      <alignment wrapText="1"/>
    </xf>
    <xf numFmtId="176" fontId="38" fillId="3" borderId="4" xfId="0" applyNumberFormat="1" applyFont="1" applyFill="1" applyBorder="1" applyAlignment="1">
      <alignment horizontal="center" wrapText="1"/>
    </xf>
    <xf numFmtId="176" fontId="35" fillId="3" borderId="50" xfId="0" applyNumberFormat="1" applyFont="1" applyFill="1" applyBorder="1" applyAlignment="1">
      <alignment horizontal="right"/>
    </xf>
    <xf numFmtId="176" fontId="4" fillId="0" borderId="0" xfId="0" applyNumberFormat="1" applyFont="1" applyFill="1" applyAlignment="1">
      <alignment horizontal="right"/>
    </xf>
    <xf numFmtId="176" fontId="35" fillId="0" borderId="0" xfId="0" applyNumberFormat="1" applyFont="1" applyFill="1" applyAlignment="1">
      <alignment horizontal="right"/>
    </xf>
    <xf numFmtId="0" fontId="3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" fontId="36" fillId="0" borderId="0" xfId="0" applyNumberFormat="1" applyFont="1" applyAlignment="1">
      <alignment horizontal="left"/>
    </xf>
    <xf numFmtId="4" fontId="36" fillId="0" borderId="0" xfId="0" applyNumberFormat="1" applyFont="1" applyFill="1" applyAlignment="1">
      <alignment horizontal="right"/>
    </xf>
    <xf numFmtId="0" fontId="36" fillId="0" borderId="0" xfId="0" applyFont="1" applyFill="1" applyAlignment="1">
      <alignment horizontal="right"/>
    </xf>
    <xf numFmtId="176" fontId="35" fillId="3" borderId="29" xfId="28" applyNumberFormat="1" applyFont="1" applyFill="1" applyBorder="1" applyAlignment="1">
      <alignment horizontal="right"/>
    </xf>
    <xf numFmtId="176" fontId="4" fillId="3" borderId="48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right"/>
    </xf>
    <xf numFmtId="176" fontId="4" fillId="3" borderId="53" xfId="0" applyNumberFormat="1" applyFont="1" applyFill="1" applyBorder="1" applyAlignment="1">
      <alignment horizontal="right"/>
    </xf>
    <xf numFmtId="176" fontId="4" fillId="3" borderId="42" xfId="28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left"/>
    </xf>
    <xf numFmtId="176" fontId="4" fillId="3" borderId="41" xfId="28" applyNumberFormat="1" applyFont="1" applyFill="1" applyBorder="1" applyAlignment="1">
      <alignment horizontal="right"/>
    </xf>
    <xf numFmtId="176" fontId="34" fillId="5" borderId="28" xfId="28" applyNumberFormat="1" applyFont="1" applyFill="1" applyBorder="1" applyAlignment="1">
      <alignment horizontal="center" wrapText="1"/>
    </xf>
    <xf numFmtId="176" fontId="4" fillId="5" borderId="1" xfId="0" applyNumberFormat="1" applyFont="1" applyFill="1" applyBorder="1" applyAlignment="1">
      <alignment horizontal="right"/>
    </xf>
    <xf numFmtId="176" fontId="35" fillId="5" borderId="27" xfId="0" applyNumberFormat="1" applyFont="1" applyFill="1" applyBorder="1" applyAlignment="1">
      <alignment horizontal="right"/>
    </xf>
    <xf numFmtId="176" fontId="4" fillId="3" borderId="47" xfId="28" applyNumberFormat="1" applyFont="1" applyFill="1" applyBorder="1" applyAlignment="1">
      <alignment horizontal="right"/>
    </xf>
    <xf numFmtId="176" fontId="38" fillId="3" borderId="29" xfId="0" applyNumberFormat="1" applyFont="1" applyFill="1" applyBorder="1" applyAlignment="1">
      <alignment horizontal="center" wrapText="1"/>
    </xf>
    <xf numFmtId="176" fontId="38" fillId="5" borderId="28" xfId="0" applyNumberFormat="1" applyFont="1" applyFill="1" applyBorder="1" applyAlignment="1">
      <alignment horizontal="center" wrapText="1"/>
    </xf>
    <xf numFmtId="179" fontId="4" fillId="5" borderId="14" xfId="0" applyNumberFormat="1" applyFont="1" applyFill="1" applyBorder="1" applyAlignment="1">
      <alignment horizontal="right"/>
    </xf>
    <xf numFmtId="180" fontId="36" fillId="0" borderId="0" xfId="0" applyNumberFormat="1" applyFont="1" applyFill="1" applyAlignment="1">
      <alignment horizontal="right"/>
    </xf>
    <xf numFmtId="176" fontId="4" fillId="0" borderId="0" xfId="28" applyNumberFormat="1" applyFont="1" applyAlignment="1"/>
    <xf numFmtId="176" fontId="38" fillId="7" borderId="4" xfId="0" applyNumberFormat="1" applyFont="1" applyFill="1" applyBorder="1" applyAlignment="1">
      <alignment wrapText="1"/>
    </xf>
    <xf numFmtId="176" fontId="4" fillId="7" borderId="44" xfId="28" applyNumberFormat="1" applyFont="1" applyFill="1" applyBorder="1" applyAlignment="1"/>
    <xf numFmtId="176" fontId="4" fillId="7" borderId="40" xfId="28" applyNumberFormat="1" applyFont="1" applyFill="1" applyBorder="1" applyAlignment="1"/>
    <xf numFmtId="176" fontId="4" fillId="7" borderId="42" xfId="28" applyNumberFormat="1" applyFont="1" applyFill="1" applyBorder="1" applyAlignment="1"/>
    <xf numFmtId="176" fontId="35" fillId="7" borderId="4" xfId="28" applyNumberFormat="1" applyFont="1" applyFill="1" applyBorder="1" applyAlignment="1"/>
    <xf numFmtId="176" fontId="35" fillId="0" borderId="0" xfId="28" applyNumberFormat="1" applyFont="1" applyAlignment="1"/>
    <xf numFmtId="4" fontId="36" fillId="0" borderId="0" xfId="28" applyNumberFormat="1" applyFont="1" applyAlignment="1"/>
    <xf numFmtId="176" fontId="36" fillId="0" borderId="0" xfId="28" applyNumberFormat="1" applyFont="1" applyAlignment="1"/>
    <xf numFmtId="0" fontId="38" fillId="3" borderId="3" xfId="0" applyFont="1" applyFill="1" applyBorder="1" applyAlignment="1">
      <alignment horizontal="left" wrapText="1"/>
    </xf>
    <xf numFmtId="0" fontId="38" fillId="3" borderId="4" xfId="0" applyFont="1" applyFill="1" applyBorder="1" applyAlignment="1">
      <alignment horizontal="center" wrapText="1"/>
    </xf>
    <xf numFmtId="179" fontId="38" fillId="3" borderId="4" xfId="28" applyNumberFormat="1" applyFont="1" applyFill="1" applyBorder="1" applyAlignment="1">
      <alignment horizontal="center" wrapText="1"/>
    </xf>
    <xf numFmtId="176" fontId="38" fillId="3" borderId="27" xfId="0" applyNumberFormat="1" applyFont="1" applyFill="1" applyBorder="1" applyAlignment="1">
      <alignment horizontal="center" wrapText="1"/>
    </xf>
    <xf numFmtId="178" fontId="4" fillId="3" borderId="47" xfId="0" applyNumberFormat="1" applyFont="1" applyFill="1" applyBorder="1" applyAlignment="1">
      <alignment horizontal="left"/>
    </xf>
    <xf numFmtId="178" fontId="4" fillId="3" borderId="13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179" fontId="4" fillId="3" borderId="13" xfId="28" applyNumberFormat="1" applyFont="1" applyFill="1" applyBorder="1" applyAlignment="1">
      <alignment horizontal="right"/>
    </xf>
    <xf numFmtId="176" fontId="4" fillId="3" borderId="7" xfId="0" applyNumberFormat="1" applyFont="1" applyFill="1" applyBorder="1" applyAlignment="1">
      <alignment horizontal="right"/>
    </xf>
    <xf numFmtId="176" fontId="4" fillId="3" borderId="44" xfId="0" applyNumberFormat="1" applyFont="1" applyFill="1" applyBorder="1" applyAlignment="1">
      <alignment horizontal="right"/>
    </xf>
    <xf numFmtId="178" fontId="4" fillId="3" borderId="32" xfId="0" applyNumberFormat="1" applyFont="1" applyFill="1" applyBorder="1" applyAlignment="1">
      <alignment horizontal="left"/>
    </xf>
    <xf numFmtId="178" fontId="4" fillId="3" borderId="9" xfId="0" applyNumberFormat="1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/>
    </xf>
    <xf numFmtId="179" fontId="4" fillId="3" borderId="9" xfId="28" applyNumberFormat="1" applyFont="1" applyFill="1" applyBorder="1" applyAlignment="1">
      <alignment horizontal="right"/>
    </xf>
    <xf numFmtId="176" fontId="4" fillId="3" borderId="51" xfId="0" applyNumberFormat="1" applyFont="1" applyFill="1" applyBorder="1" applyAlignment="1">
      <alignment horizontal="right"/>
    </xf>
    <xf numFmtId="176" fontId="4" fillId="3" borderId="40" xfId="0" applyNumberFormat="1" applyFont="1" applyFill="1" applyBorder="1" applyAlignment="1">
      <alignment horizontal="right"/>
    </xf>
    <xf numFmtId="176" fontId="40" fillId="3" borderId="51" xfId="0" applyNumberFormat="1" applyFont="1" applyFill="1" applyBorder="1" applyAlignment="1">
      <alignment horizontal="right"/>
    </xf>
    <xf numFmtId="0" fontId="4" fillId="3" borderId="9" xfId="0" applyFont="1" applyFill="1" applyBorder="1" applyAlignment="1">
      <alignment horizontal="center"/>
    </xf>
    <xf numFmtId="178" fontId="4" fillId="3" borderId="49" xfId="0" applyNumberFormat="1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179" fontId="4" fillId="3" borderId="11" xfId="28" applyNumberFormat="1" applyFont="1" applyFill="1" applyBorder="1" applyAlignment="1">
      <alignment horizontal="right"/>
    </xf>
    <xf numFmtId="176" fontId="40" fillId="3" borderId="55" xfId="0" applyNumberFormat="1" applyFont="1" applyFill="1" applyBorder="1" applyAlignment="1">
      <alignment horizontal="right"/>
    </xf>
    <xf numFmtId="0" fontId="35" fillId="3" borderId="32" xfId="0" applyFont="1" applyFill="1" applyBorder="1" applyAlignment="1">
      <alignment horizontal="left"/>
    </xf>
    <xf numFmtId="0" fontId="35" fillId="3" borderId="9" xfId="0" applyFont="1" applyFill="1" applyBorder="1" applyAlignment="1"/>
    <xf numFmtId="0" fontId="35" fillId="3" borderId="51" xfId="0" applyFont="1" applyFill="1" applyBorder="1" applyAlignment="1"/>
    <xf numFmtId="178" fontId="35" fillId="3" borderId="34" xfId="0" applyNumberFormat="1" applyFont="1" applyFill="1" applyBorder="1" applyAlignment="1">
      <alignment horizontal="left"/>
    </xf>
    <xf numFmtId="178" fontId="35" fillId="3" borderId="35" xfId="0" applyNumberFormat="1" applyFont="1" applyFill="1" applyBorder="1" applyAlignment="1"/>
    <xf numFmtId="178" fontId="35" fillId="3" borderId="56" xfId="0" applyNumberFormat="1" applyFont="1" applyFill="1" applyBorder="1" applyAlignment="1"/>
    <xf numFmtId="166" fontId="35" fillId="3" borderId="58" xfId="0" applyNumberFormat="1" applyFont="1" applyFill="1" applyBorder="1" applyAlignment="1">
      <alignment horizontal="left"/>
    </xf>
    <xf numFmtId="166" fontId="35" fillId="3" borderId="59" xfId="0" applyNumberFormat="1" applyFont="1" applyFill="1" applyBorder="1" applyAlignment="1">
      <alignment horizontal="center"/>
    </xf>
    <xf numFmtId="179" fontId="35" fillId="3" borderId="60" xfId="28" applyNumberFormat="1" applyFont="1" applyFill="1" applyBorder="1" applyAlignment="1">
      <alignment horizontal="right"/>
    </xf>
    <xf numFmtId="176" fontId="35" fillId="3" borderId="61" xfId="0" applyNumberFormat="1" applyFont="1" applyFill="1" applyBorder="1" applyAlignment="1">
      <alignment horizontal="right"/>
    </xf>
    <xf numFmtId="176" fontId="35" fillId="3" borderId="4" xfId="0" applyNumberFormat="1" applyFont="1" applyFill="1" applyBorder="1" applyAlignment="1">
      <alignment horizontal="right"/>
    </xf>
    <xf numFmtId="176" fontId="38" fillId="3" borderId="50" xfId="0" applyNumberFormat="1" applyFont="1" applyFill="1" applyBorder="1" applyAlignment="1">
      <alignment horizontal="center" wrapText="1"/>
    </xf>
    <xf numFmtId="49" fontId="4" fillId="3" borderId="8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3" borderId="15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49" fontId="4" fillId="3" borderId="15" xfId="0" applyNumberFormat="1" applyFont="1" applyFill="1" applyBorder="1" applyAlignment="1">
      <alignment horizontal="center"/>
    </xf>
    <xf numFmtId="176" fontId="4" fillId="3" borderId="9" xfId="0" applyNumberFormat="1" applyFont="1" applyFill="1" applyBorder="1" applyAlignment="1">
      <alignment horizontal="center"/>
    </xf>
    <xf numFmtId="0" fontId="36" fillId="3" borderId="51" xfId="0" applyFont="1" applyFill="1" applyBorder="1" applyAlignment="1">
      <alignment horizontal="right"/>
    </xf>
    <xf numFmtId="0" fontId="4" fillId="3" borderId="52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176" fontId="4" fillId="3" borderId="11" xfId="0" applyNumberFormat="1" applyFont="1" applyFill="1" applyBorder="1" applyAlignment="1">
      <alignment horizontal="center"/>
    </xf>
    <xf numFmtId="0" fontId="36" fillId="3" borderId="55" xfId="0" applyFont="1" applyFill="1" applyBorder="1" applyAlignment="1">
      <alignment horizontal="right"/>
    </xf>
    <xf numFmtId="49" fontId="4" fillId="3" borderId="15" xfId="0" applyNumberFormat="1" applyFont="1" applyFill="1" applyBorder="1" applyAlignment="1">
      <alignment horizontal="left"/>
    </xf>
    <xf numFmtId="1" fontId="4" fillId="3" borderId="9" xfId="0" applyNumberFormat="1" applyFont="1" applyFill="1" applyBorder="1" applyAlignment="1">
      <alignment horizontal="left"/>
    </xf>
    <xf numFmtId="0" fontId="4" fillId="3" borderId="9" xfId="0" applyNumberFormat="1" applyFont="1" applyFill="1" applyBorder="1" applyAlignment="1">
      <alignment horizontal="left"/>
    </xf>
    <xf numFmtId="179" fontId="4" fillId="3" borderId="9" xfId="28" applyNumberFormat="1" applyFont="1" applyFill="1" applyBorder="1" applyAlignment="1">
      <alignment horizontal="left"/>
    </xf>
    <xf numFmtId="49" fontId="35" fillId="3" borderId="29" xfId="0" applyNumberFormat="1" applyFont="1" applyFill="1" applyBorder="1" applyAlignment="1">
      <alignment horizontal="center"/>
    </xf>
    <xf numFmtId="1" fontId="35" fillId="3" borderId="50" xfId="0" applyNumberFormat="1" applyFont="1" applyFill="1" applyBorder="1" applyAlignment="1">
      <alignment horizontal="center"/>
    </xf>
    <xf numFmtId="0" fontId="35" fillId="3" borderId="50" xfId="0" applyNumberFormat="1" applyFont="1" applyFill="1" applyBorder="1" applyAlignment="1">
      <alignment horizontal="center"/>
    </xf>
    <xf numFmtId="179" fontId="35" fillId="3" borderId="30" xfId="28" applyNumberFormat="1" applyFont="1" applyFill="1" applyBorder="1" applyAlignment="1">
      <alignment horizontal="right"/>
    </xf>
    <xf numFmtId="176" fontId="35" fillId="3" borderId="26" xfId="0" applyNumberFormat="1" applyFont="1" applyFill="1" applyBorder="1" applyAlignment="1">
      <alignment horizontal="right"/>
    </xf>
    <xf numFmtId="49" fontId="38" fillId="3" borderId="4" xfId="0" applyNumberFormat="1" applyFont="1" applyFill="1" applyBorder="1" applyAlignment="1">
      <alignment horizontal="center" wrapText="1"/>
    </xf>
    <xf numFmtId="1" fontId="38" fillId="3" borderId="4" xfId="0" applyNumberFormat="1" applyFont="1" applyFill="1" applyBorder="1" applyAlignment="1">
      <alignment horizontal="center" wrapText="1"/>
    </xf>
    <xf numFmtId="0" fontId="38" fillId="3" borderId="4" xfId="0" applyNumberFormat="1" applyFont="1" applyFill="1" applyBorder="1" applyAlignment="1">
      <alignment horizontal="center" wrapText="1"/>
    </xf>
    <xf numFmtId="175" fontId="38" fillId="3" borderId="4" xfId="28" applyNumberFormat="1" applyFont="1" applyFill="1" applyBorder="1" applyAlignment="1">
      <alignment horizontal="center" wrapText="1"/>
    </xf>
    <xf numFmtId="4" fontId="38" fillId="3" borderId="27" xfId="0" applyNumberFormat="1" applyFont="1" applyFill="1" applyBorder="1" applyAlignment="1">
      <alignment horizontal="center" wrapText="1"/>
    </xf>
    <xf numFmtId="49" fontId="4" fillId="3" borderId="47" xfId="0" applyNumberFormat="1" applyFont="1" applyFill="1" applyBorder="1" applyAlignment="1">
      <alignment horizontal="center"/>
    </xf>
    <xf numFmtId="168" fontId="4" fillId="3" borderId="13" xfId="0" applyNumberFormat="1" applyFont="1" applyFill="1" applyBorder="1" applyAlignment="1">
      <alignment horizontal="right"/>
    </xf>
    <xf numFmtId="175" fontId="39" fillId="3" borderId="13" xfId="28" applyNumberFormat="1" applyFont="1" applyFill="1" applyBorder="1" applyAlignment="1">
      <alignment horizontal="right"/>
    </xf>
    <xf numFmtId="4" fontId="4" fillId="3" borderId="7" xfId="0" applyNumberFormat="1" applyFont="1" applyFill="1" applyBorder="1" applyAlignment="1">
      <alignment horizontal="center"/>
    </xf>
    <xf numFmtId="49" fontId="4" fillId="3" borderId="32" xfId="0" applyNumberFormat="1" applyFont="1" applyFill="1" applyBorder="1" applyAlignment="1">
      <alignment horizontal="center"/>
    </xf>
    <xf numFmtId="168" fontId="4" fillId="3" borderId="9" xfId="0" applyNumberFormat="1" applyFont="1" applyFill="1" applyBorder="1" applyAlignment="1">
      <alignment horizontal="right"/>
    </xf>
    <xf numFmtId="175" fontId="39" fillId="3" borderId="9" xfId="28" applyNumberFormat="1" applyFont="1" applyFill="1" applyBorder="1" applyAlignment="1">
      <alignment horizontal="right"/>
    </xf>
    <xf numFmtId="4" fontId="4" fillId="3" borderId="51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166" fontId="4" fillId="3" borderId="9" xfId="0" applyNumberFormat="1" applyFont="1" applyFill="1" applyBorder="1" applyAlignment="1">
      <alignment horizontal="right"/>
    </xf>
    <xf numFmtId="0" fontId="4" fillId="3" borderId="32" xfId="0" applyNumberFormat="1" applyFont="1" applyFill="1" applyBorder="1" applyAlignment="1">
      <alignment horizontal="center"/>
    </xf>
    <xf numFmtId="175" fontId="4" fillId="3" borderId="9" xfId="28" applyNumberFormat="1" applyFont="1" applyFill="1" applyBorder="1" applyAlignment="1">
      <alignment horizontal="right"/>
    </xf>
    <xf numFmtId="175" fontId="40" fillId="3" borderId="9" xfId="28" applyNumberFormat="1" applyFont="1" applyFill="1" applyBorder="1" applyAlignment="1">
      <alignment horizontal="right"/>
    </xf>
    <xf numFmtId="175" fontId="41" fillId="3" borderId="9" xfId="28" applyNumberFormat="1" applyFont="1" applyFill="1" applyBorder="1" applyAlignment="1">
      <alignment horizontal="right"/>
    </xf>
    <xf numFmtId="49" fontId="4" fillId="3" borderId="49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/>
    </xf>
    <xf numFmtId="175" fontId="4" fillId="3" borderId="11" xfId="28" applyNumberFormat="1" applyFont="1" applyFill="1" applyBorder="1" applyAlignment="1">
      <alignment horizontal="right"/>
    </xf>
    <xf numFmtId="49" fontId="4" fillId="3" borderId="32" xfId="0" applyNumberFormat="1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175" fontId="39" fillId="3" borderId="9" xfId="28" applyNumberFormat="1" applyFont="1" applyFill="1" applyBorder="1" applyAlignment="1">
      <alignment horizontal="left"/>
    </xf>
    <xf numFmtId="176" fontId="4" fillId="3" borderId="40" xfId="0" applyNumberFormat="1" applyFont="1" applyFill="1" applyBorder="1" applyAlignment="1">
      <alignment horizontal="left"/>
    </xf>
    <xf numFmtId="168" fontId="35" fillId="3" borderId="50" xfId="0" applyNumberFormat="1" applyFont="1" applyFill="1" applyBorder="1" applyAlignment="1">
      <alignment horizontal="right"/>
    </xf>
    <xf numFmtId="175" fontId="35" fillId="3" borderId="30" xfId="28" applyNumberFormat="1" applyFont="1" applyFill="1" applyBorder="1" applyAlignment="1">
      <alignment horizontal="right"/>
    </xf>
    <xf numFmtId="4" fontId="35" fillId="3" borderId="26" xfId="0" applyNumberFormat="1" applyFont="1" applyFill="1" applyBorder="1" applyAlignment="1">
      <alignment horizontal="center"/>
    </xf>
    <xf numFmtId="176" fontId="38" fillId="3" borderId="27" xfId="0" applyNumberFormat="1" applyFont="1" applyFill="1" applyBorder="1" applyAlignment="1">
      <alignment wrapText="1"/>
    </xf>
    <xf numFmtId="176" fontId="4" fillId="3" borderId="1" xfId="0" applyNumberFormat="1" applyFont="1" applyFill="1" applyBorder="1" applyAlignment="1"/>
    <xf numFmtId="176" fontId="4" fillId="3" borderId="14" xfId="0" applyNumberFormat="1" applyFont="1" applyFill="1" applyBorder="1" applyAlignment="1"/>
    <xf numFmtId="176" fontId="4" fillId="3" borderId="10" xfId="0" applyNumberFormat="1" applyFont="1" applyFill="1" applyBorder="1" applyAlignment="1"/>
    <xf numFmtId="176" fontId="4" fillId="3" borderId="42" xfId="0" applyNumberFormat="1" applyFont="1" applyFill="1" applyBorder="1" applyAlignment="1">
      <alignment horizontal="right"/>
    </xf>
    <xf numFmtId="176" fontId="35" fillId="3" borderId="27" xfId="0" applyNumberFormat="1" applyFont="1" applyFill="1" applyBorder="1" applyAlignment="1"/>
    <xf numFmtId="176" fontId="38" fillId="3" borderId="46" xfId="0" applyNumberFormat="1" applyFont="1" applyFill="1" applyBorder="1" applyAlignment="1">
      <alignment horizontal="center" wrapText="1"/>
    </xf>
    <xf numFmtId="176" fontId="35" fillId="3" borderId="45" xfId="0" applyNumberFormat="1" applyFont="1" applyFill="1" applyBorder="1" applyAlignment="1">
      <alignment horizontal="right"/>
    </xf>
    <xf numFmtId="176" fontId="35" fillId="3" borderId="33" xfId="28" applyNumberFormat="1" applyFont="1" applyFill="1" applyBorder="1" applyAlignment="1">
      <alignment horizontal="right"/>
    </xf>
    <xf numFmtId="176" fontId="35" fillId="3" borderId="46" xfId="0" applyNumberFormat="1" applyFont="1" applyFill="1" applyBorder="1" applyAlignment="1">
      <alignment horizontal="right"/>
    </xf>
    <xf numFmtId="0" fontId="44" fillId="0" borderId="0" xfId="0" applyFont="1"/>
    <xf numFmtId="176" fontId="43" fillId="7" borderId="40" xfId="28" applyNumberFormat="1" applyFont="1" applyFill="1" applyBorder="1" applyAlignment="1"/>
    <xf numFmtId="176" fontId="35" fillId="3" borderId="8" xfId="0" applyNumberFormat="1" applyFont="1" applyFill="1" applyBorder="1" applyAlignment="1">
      <alignment horizontal="right"/>
    </xf>
    <xf numFmtId="176" fontId="38" fillId="7" borderId="28" xfId="0" applyNumberFormat="1" applyFont="1" applyFill="1" applyBorder="1" applyAlignment="1">
      <alignment horizontal="center" wrapText="1"/>
    </xf>
    <xf numFmtId="176" fontId="4" fillId="7" borderId="48" xfId="28" applyNumberFormat="1" applyFont="1" applyFill="1" applyBorder="1" applyAlignment="1">
      <alignment horizontal="right"/>
    </xf>
    <xf numFmtId="176" fontId="4" fillId="7" borderId="53" xfId="28" applyNumberFormat="1" applyFont="1" applyFill="1" applyBorder="1" applyAlignment="1">
      <alignment horizontal="right"/>
    </xf>
    <xf numFmtId="176" fontId="43" fillId="7" borderId="53" xfId="28" applyNumberFormat="1" applyFont="1" applyFill="1" applyBorder="1" applyAlignment="1">
      <alignment horizontal="right"/>
    </xf>
    <xf numFmtId="176" fontId="4" fillId="7" borderId="54" xfId="28" applyNumberFormat="1" applyFont="1" applyFill="1" applyBorder="1" applyAlignment="1">
      <alignment horizontal="right"/>
    </xf>
    <xf numFmtId="176" fontId="4" fillId="7" borderId="41" xfId="28" applyNumberFormat="1" applyFont="1" applyFill="1" applyBorder="1" applyAlignment="1"/>
    <xf numFmtId="176" fontId="4" fillId="7" borderId="57" xfId="28" applyNumberFormat="1" applyFont="1" applyFill="1" applyBorder="1" applyAlignment="1">
      <alignment horizontal="right"/>
    </xf>
    <xf numFmtId="179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75" fontId="4" fillId="0" borderId="0" xfId="28" applyNumberFormat="1" applyFont="1" applyFill="1" applyBorder="1" applyAlignment="1">
      <alignment horizontal="center"/>
    </xf>
    <xf numFmtId="4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/>
    <xf numFmtId="176" fontId="4" fillId="0" borderId="0" xfId="0" applyNumberFormat="1" applyFont="1" applyFill="1" applyBorder="1"/>
    <xf numFmtId="176" fontId="4" fillId="0" borderId="0" xfId="28" applyNumberFormat="1" applyFont="1" applyFill="1" applyBorder="1" applyAlignment="1">
      <alignment horizontal="right"/>
    </xf>
    <xf numFmtId="176" fontId="4" fillId="0" borderId="0" xfId="28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9" fontId="4" fillId="0" borderId="0" xfId="29" applyFont="1" applyFill="1" applyBorder="1" applyAlignment="1">
      <alignment horizontal="center"/>
    </xf>
    <xf numFmtId="177" fontId="34" fillId="3" borderId="3" xfId="28" applyNumberFormat="1" applyFont="1" applyFill="1" applyBorder="1" applyAlignment="1">
      <alignment horizontal="center"/>
    </xf>
    <xf numFmtId="0" fontId="37" fillId="3" borderId="4" xfId="0" applyFont="1" applyFill="1" applyBorder="1"/>
    <xf numFmtId="9" fontId="38" fillId="3" borderId="3" xfId="29" applyFont="1" applyFill="1" applyBorder="1" applyAlignment="1">
      <alignment horizontal="center" wrapText="1"/>
    </xf>
    <xf numFmtId="0" fontId="36" fillId="3" borderId="4" xfId="0" applyFont="1" applyFill="1" applyBorder="1" applyAlignment="1">
      <alignment wrapText="1"/>
    </xf>
    <xf numFmtId="9" fontId="4" fillId="3" borderId="43" xfId="29" applyFont="1" applyFill="1" applyBorder="1" applyAlignment="1">
      <alignment horizontal="center"/>
    </xf>
    <xf numFmtId="0" fontId="36" fillId="3" borderId="44" xfId="0" applyFont="1" applyFill="1" applyBorder="1"/>
    <xf numFmtId="10" fontId="4" fillId="3" borderId="37" xfId="29" applyNumberFormat="1" applyFont="1" applyFill="1" applyBorder="1" applyAlignment="1">
      <alignment horizontal="center"/>
    </xf>
    <xf numFmtId="176" fontId="36" fillId="3" borderId="40" xfId="0" applyNumberFormat="1" applyFont="1" applyFill="1" applyBorder="1"/>
    <xf numFmtId="9" fontId="35" fillId="3" borderId="3" xfId="29" applyFont="1" applyFill="1" applyBorder="1" applyAlignment="1">
      <alignment horizontal="center"/>
    </xf>
    <xf numFmtId="176" fontId="42" fillId="3" borderId="4" xfId="0" applyNumberFormat="1" applyFont="1" applyFill="1" applyBorder="1"/>
    <xf numFmtId="0" fontId="36" fillId="0" borderId="0" xfId="0" applyFont="1" applyFill="1" applyBorder="1"/>
    <xf numFmtId="1" fontId="35" fillId="0" borderId="0" xfId="0" applyNumberFormat="1" applyFont="1" applyFill="1" applyBorder="1" applyAlignment="1">
      <alignment horizontal="center"/>
    </xf>
    <xf numFmtId="0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179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>
      <alignment horizontal="right"/>
    </xf>
    <xf numFmtId="175" fontId="35" fillId="0" borderId="0" xfId="28" applyNumberFormat="1" applyFont="1" applyFill="1" applyBorder="1" applyAlignment="1">
      <alignment horizontal="center"/>
    </xf>
    <xf numFmtId="4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/>
    <xf numFmtId="176" fontId="35" fillId="0" borderId="0" xfId="0" applyNumberFormat="1" applyFont="1" applyFill="1" applyBorder="1"/>
    <xf numFmtId="180" fontId="36" fillId="0" borderId="0" xfId="0" applyNumberFormat="1" applyFont="1" applyAlignment="1">
      <alignment horizontal="right"/>
    </xf>
    <xf numFmtId="0" fontId="15" fillId="2" borderId="3" xfId="1" quotePrefix="1" applyFont="1" applyFill="1" applyBorder="1" applyAlignment="1">
      <alignment horizontal="center" vertical="center"/>
    </xf>
    <xf numFmtId="0" fontId="15" fillId="8" borderId="3" xfId="1" quotePrefix="1" applyFont="1" applyFill="1" applyBorder="1" applyAlignment="1">
      <alignment horizontal="center" vertical="center"/>
    </xf>
    <xf numFmtId="0" fontId="15" fillId="8" borderId="4" xfId="1" quotePrefix="1" applyFont="1" applyFill="1" applyBorder="1" applyAlignment="1">
      <alignment horizontal="center" vertical="center"/>
    </xf>
    <xf numFmtId="172" fontId="16" fillId="0" borderId="9" xfId="1" applyNumberFormat="1" applyFont="1" applyFill="1" applyBorder="1"/>
    <xf numFmtId="172" fontId="16" fillId="0" borderId="0" xfId="1" applyNumberFormat="1" applyFont="1" applyFill="1"/>
    <xf numFmtId="172" fontId="18" fillId="0" borderId="0" xfId="1" applyNumberFormat="1" applyFont="1" applyFill="1"/>
    <xf numFmtId="172" fontId="16" fillId="0" borderId="35" xfId="1" applyNumberFormat="1" applyFont="1" applyBorder="1"/>
    <xf numFmtId="172" fontId="13" fillId="3" borderId="4" xfId="0" applyNumberFormat="1" applyFont="1" applyFill="1" applyBorder="1"/>
    <xf numFmtId="176" fontId="45" fillId="3" borderId="51" xfId="0" applyNumberFormat="1" applyFont="1" applyFill="1" applyBorder="1" applyAlignment="1">
      <alignment horizontal="right"/>
    </xf>
    <xf numFmtId="0" fontId="35" fillId="3" borderId="33" xfId="28" applyNumberFormat="1" applyFont="1" applyFill="1" applyBorder="1" applyAlignment="1">
      <alignment horizontal="right"/>
    </xf>
    <xf numFmtId="164" fontId="4" fillId="3" borderId="51" xfId="28" applyFont="1" applyFill="1" applyBorder="1" applyAlignment="1">
      <alignment horizontal="right"/>
    </xf>
    <xf numFmtId="164" fontId="4" fillId="3" borderId="51" xfId="28" applyFont="1" applyFill="1" applyBorder="1" applyAlignment="1">
      <alignment horizontal="center"/>
    </xf>
    <xf numFmtId="43" fontId="35" fillId="3" borderId="33" xfId="28" applyNumberFormat="1" applyFont="1" applyFill="1" applyBorder="1" applyAlignment="1">
      <alignment horizontal="right"/>
    </xf>
    <xf numFmtId="164" fontId="4" fillId="3" borderId="14" xfId="28" applyFont="1" applyFill="1" applyBorder="1" applyAlignment="1"/>
    <xf numFmtId="0" fontId="36" fillId="3" borderId="0" xfId="0" applyFont="1" applyFill="1"/>
    <xf numFmtId="179" fontId="4" fillId="3" borderId="14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/>
    <xf numFmtId="176" fontId="4" fillId="3" borderId="53" xfId="28" applyNumberFormat="1" applyFont="1" applyFill="1" applyBorder="1" applyAlignment="1">
      <alignment horizontal="right"/>
    </xf>
    <xf numFmtId="175" fontId="3" fillId="3" borderId="9" xfId="28" applyNumberFormat="1" applyFont="1" applyFill="1" applyBorder="1" applyAlignment="1">
      <alignment horizontal="right"/>
    </xf>
    <xf numFmtId="0" fontId="46" fillId="0" borderId="0" xfId="0" applyFont="1"/>
    <xf numFmtId="178" fontId="45" fillId="3" borderId="32" xfId="0" applyNumberFormat="1" applyFont="1" applyFill="1" applyBorder="1" applyAlignment="1">
      <alignment horizontal="left"/>
    </xf>
    <xf numFmtId="0" fontId="45" fillId="3" borderId="9" xfId="0" applyFont="1" applyFill="1" applyBorder="1" applyAlignment="1">
      <alignment horizontal="center"/>
    </xf>
    <xf numFmtId="179" fontId="45" fillId="3" borderId="9" xfId="28" applyNumberFormat="1" applyFont="1" applyFill="1" applyBorder="1" applyAlignment="1">
      <alignment horizontal="right"/>
    </xf>
    <xf numFmtId="176" fontId="45" fillId="3" borderId="40" xfId="0" applyNumberFormat="1" applyFont="1" applyFill="1" applyBorder="1" applyAlignment="1">
      <alignment horizontal="right"/>
    </xf>
    <xf numFmtId="0" fontId="45" fillId="3" borderId="15" xfId="0" applyNumberFormat="1" applyFont="1" applyFill="1" applyBorder="1" applyAlignment="1">
      <alignment horizontal="center"/>
    </xf>
    <xf numFmtId="1" fontId="45" fillId="3" borderId="9" xfId="0" applyNumberFormat="1" applyFont="1" applyFill="1" applyBorder="1" applyAlignment="1">
      <alignment horizontal="center"/>
    </xf>
    <xf numFmtId="0" fontId="45" fillId="3" borderId="9" xfId="0" applyNumberFormat="1" applyFont="1" applyFill="1" applyBorder="1" applyAlignment="1">
      <alignment horizontal="center"/>
    </xf>
    <xf numFmtId="49" fontId="45" fillId="3" borderId="32" xfId="0" applyNumberFormat="1" applyFont="1" applyFill="1" applyBorder="1" applyAlignment="1">
      <alignment horizontal="center"/>
    </xf>
    <xf numFmtId="0" fontId="45" fillId="3" borderId="9" xfId="0" applyFont="1" applyFill="1" applyBorder="1" applyAlignment="1">
      <alignment horizontal="right"/>
    </xf>
    <xf numFmtId="175" fontId="45" fillId="3" borderId="9" xfId="28" applyNumberFormat="1" applyFont="1" applyFill="1" applyBorder="1" applyAlignment="1">
      <alignment horizontal="right"/>
    </xf>
    <xf numFmtId="4" fontId="45" fillId="3" borderId="51" xfId="0" applyNumberFormat="1" applyFont="1" applyFill="1" applyBorder="1" applyAlignment="1">
      <alignment horizontal="center"/>
    </xf>
    <xf numFmtId="176" fontId="45" fillId="3" borderId="14" xfId="0" applyNumberFormat="1" applyFont="1" applyFill="1" applyBorder="1" applyAlignment="1"/>
    <xf numFmtId="179" fontId="45" fillId="5" borderId="14" xfId="0" applyNumberFormat="1" applyFont="1" applyFill="1" applyBorder="1" applyAlignment="1">
      <alignment horizontal="right"/>
    </xf>
    <xf numFmtId="176" fontId="45" fillId="3" borderId="40" xfId="28" applyNumberFormat="1" applyFont="1" applyFill="1" applyBorder="1" applyAlignment="1">
      <alignment horizontal="right"/>
    </xf>
    <xf numFmtId="176" fontId="45" fillId="3" borderId="53" xfId="0" applyNumberFormat="1" applyFont="1" applyFill="1" applyBorder="1" applyAlignment="1">
      <alignment horizontal="right"/>
    </xf>
    <xf numFmtId="167" fontId="3" fillId="0" borderId="0" xfId="0" applyNumberFormat="1" applyFont="1" applyAlignment="1">
      <alignment horizontal="right" readingOrder="1"/>
    </xf>
    <xf numFmtId="49" fontId="36" fillId="0" borderId="0" xfId="0" applyNumberFormat="1" applyFont="1"/>
    <xf numFmtId="1" fontId="36" fillId="0" borderId="0" xfId="0" applyNumberFormat="1" applyFont="1"/>
    <xf numFmtId="175" fontId="36" fillId="0" borderId="0" xfId="30" applyNumberFormat="1" applyFont="1" applyAlignment="1">
      <alignment horizontal="center"/>
    </xf>
    <xf numFmtId="175" fontId="36" fillId="0" borderId="0" xfId="30" applyNumberFormat="1" applyFont="1" applyBorder="1" applyAlignment="1">
      <alignment horizontal="center"/>
    </xf>
    <xf numFmtId="0" fontId="42" fillId="0" borderId="24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49" fontId="36" fillId="0" borderId="0" xfId="0" applyNumberFormat="1" applyFont="1" applyFill="1"/>
    <xf numFmtId="1" fontId="36" fillId="0" borderId="0" xfId="0" applyNumberFormat="1" applyFont="1" applyFill="1"/>
    <xf numFmtId="175" fontId="36" fillId="0" borderId="0" xfId="30" applyNumberFormat="1" applyFont="1" applyFill="1" applyAlignment="1">
      <alignment horizontal="center"/>
    </xf>
    <xf numFmtId="177" fontId="36" fillId="0" borderId="0" xfId="30" applyNumberFormat="1" applyFont="1" applyFill="1"/>
    <xf numFmtId="175" fontId="36" fillId="0" borderId="0" xfId="3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right" readingOrder="1"/>
    </xf>
    <xf numFmtId="0" fontId="42" fillId="0" borderId="25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177" fontId="35" fillId="0" borderId="46" xfId="30" applyNumberFormat="1" applyFont="1" applyBorder="1" applyAlignment="1">
      <alignment horizontal="center"/>
    </xf>
    <xf numFmtId="177" fontId="35" fillId="0" borderId="4" xfId="30" applyNumberFormat="1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49" fontId="35" fillId="0" borderId="58" xfId="0" applyNumberFormat="1" applyFont="1" applyBorder="1" applyAlignment="1">
      <alignment horizontal="center"/>
    </xf>
    <xf numFmtId="1" fontId="35" fillId="0" borderId="59" xfId="0" applyNumberFormat="1" applyFont="1" applyBorder="1" applyAlignment="1">
      <alignment horizontal="center"/>
    </xf>
    <xf numFmtId="0" fontId="35" fillId="6" borderId="59" xfId="0" applyFont="1" applyFill="1" applyBorder="1" applyAlignment="1">
      <alignment horizontal="center"/>
    </xf>
    <xf numFmtId="182" fontId="35" fillId="6" borderId="59" xfId="0" applyNumberFormat="1" applyFont="1" applyFill="1" applyBorder="1" applyAlignment="1">
      <alignment horizontal="center"/>
    </xf>
    <xf numFmtId="175" fontId="35" fillId="6" borderId="60" xfId="30" applyNumberFormat="1" applyFont="1" applyFill="1" applyBorder="1" applyAlignment="1">
      <alignment horizontal="center"/>
    </xf>
    <xf numFmtId="167" fontId="35" fillId="0" borderId="23" xfId="0" applyNumberFormat="1" applyFont="1" applyBorder="1" applyAlignment="1">
      <alignment horizontal="center" readingOrder="1"/>
    </xf>
    <xf numFmtId="167" fontId="35" fillId="0" borderId="4" xfId="0" applyNumberFormat="1" applyFont="1" applyBorder="1" applyAlignment="1">
      <alignment horizontal="center" readingOrder="1"/>
    </xf>
    <xf numFmtId="167" fontId="35" fillId="0" borderId="6" xfId="0" applyNumberFormat="1" applyFont="1" applyBorder="1" applyAlignment="1">
      <alignment horizontal="center" readingOrder="1"/>
    </xf>
    <xf numFmtId="178" fontId="3" fillId="0" borderId="3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182" fontId="3" fillId="6" borderId="9" xfId="0" applyNumberFormat="1" applyFont="1" applyFill="1" applyBorder="1" applyAlignment="1">
      <alignment horizontal="center"/>
    </xf>
    <xf numFmtId="49" fontId="3" fillId="0" borderId="32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49" fontId="3" fillId="8" borderId="32" xfId="0" applyNumberFormat="1" applyFont="1" applyFill="1" applyBorder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182" fontId="3" fillId="8" borderId="9" xfId="0" applyNumberFormat="1" applyFont="1" applyFill="1" applyBorder="1" applyAlignment="1">
      <alignment horizontal="center"/>
    </xf>
    <xf numFmtId="179" fontId="3" fillId="6" borderId="15" xfId="30" applyNumberFormat="1" applyFont="1" applyFill="1" applyBorder="1" applyAlignment="1">
      <alignment horizontal="center"/>
    </xf>
    <xf numFmtId="167" fontId="3" fillId="0" borderId="14" xfId="0" applyNumberFormat="1" applyFont="1" applyFill="1" applyBorder="1" applyAlignment="1">
      <alignment horizontal="right" readingOrder="1"/>
    </xf>
    <xf numFmtId="167" fontId="3" fillId="0" borderId="13" xfId="0" applyNumberFormat="1" applyFont="1" applyFill="1" applyBorder="1" applyAlignment="1">
      <alignment horizontal="right" readingOrder="1"/>
    </xf>
    <xf numFmtId="178" fontId="3" fillId="9" borderId="32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178" fontId="3" fillId="9" borderId="9" xfId="0" applyNumberFormat="1" applyFont="1" applyFill="1" applyBorder="1" applyAlignment="1">
      <alignment horizontal="center"/>
    </xf>
    <xf numFmtId="49" fontId="3" fillId="9" borderId="32" xfId="0" applyNumberFormat="1" applyFont="1" applyFill="1" applyBorder="1" applyAlignment="1">
      <alignment horizontal="center"/>
    </xf>
    <xf numFmtId="1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49" fontId="3" fillId="9" borderId="15" xfId="0" applyNumberFormat="1" applyFont="1" applyFill="1" applyBorder="1" applyAlignment="1">
      <alignment horizontal="center"/>
    </xf>
    <xf numFmtId="167" fontId="3" fillId="11" borderId="13" xfId="0" applyNumberFormat="1" applyFont="1" applyFill="1" applyBorder="1" applyAlignment="1">
      <alignment horizontal="right" readingOrder="1"/>
    </xf>
    <xf numFmtId="0" fontId="36" fillId="11" borderId="0" xfId="0" applyFont="1" applyFill="1"/>
    <xf numFmtId="49" fontId="3" fillId="9" borderId="49" xfId="0" applyNumberFormat="1" applyFont="1" applyFill="1" applyBorder="1" applyAlignment="1">
      <alignment horizontal="center"/>
    </xf>
    <xf numFmtId="1" fontId="3" fillId="9" borderId="11" xfId="0" applyNumberFormat="1" applyFont="1" applyFill="1" applyBorder="1" applyAlignment="1">
      <alignment horizontal="center"/>
    </xf>
    <xf numFmtId="49" fontId="3" fillId="8" borderId="49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82" fontId="3" fillId="8" borderId="11" xfId="0" applyNumberFormat="1" applyFont="1" applyFill="1" applyBorder="1" applyAlignment="1">
      <alignment horizontal="center"/>
    </xf>
    <xf numFmtId="167" fontId="3" fillId="11" borderId="12" xfId="0" applyNumberFormat="1" applyFont="1" applyFill="1" applyBorder="1" applyAlignment="1">
      <alignment horizontal="right" readingOrder="1"/>
    </xf>
    <xf numFmtId="166" fontId="35" fillId="9" borderId="29" xfId="0" applyNumberFormat="1" applyFont="1" applyFill="1" applyBorder="1" applyAlignment="1">
      <alignment horizontal="center"/>
    </xf>
    <xf numFmtId="166" fontId="35" fillId="9" borderId="50" xfId="0" applyNumberFormat="1" applyFont="1" applyFill="1" applyBorder="1" applyAlignment="1">
      <alignment horizontal="center"/>
    </xf>
    <xf numFmtId="166" fontId="35" fillId="9" borderId="30" xfId="0" applyNumberFormat="1" applyFont="1" applyFill="1" applyBorder="1" applyAlignment="1">
      <alignment horizontal="center"/>
    </xf>
    <xf numFmtId="0" fontId="35" fillId="9" borderId="30" xfId="0" applyNumberFormat="1" applyFont="1" applyFill="1" applyBorder="1" applyAlignment="1">
      <alignment horizontal="center"/>
    </xf>
    <xf numFmtId="182" fontId="35" fillId="6" borderId="30" xfId="0" applyNumberFormat="1" applyFont="1" applyFill="1" applyBorder="1" applyAlignment="1">
      <alignment horizontal="center"/>
    </xf>
    <xf numFmtId="49" fontId="35" fillId="9" borderId="29" xfId="0" applyNumberFormat="1" applyFont="1" applyFill="1" applyBorder="1" applyAlignment="1">
      <alignment horizontal="center"/>
    </xf>
    <xf numFmtId="1" fontId="35" fillId="9" borderId="50" xfId="0" applyNumberFormat="1" applyFont="1" applyFill="1" applyBorder="1" applyAlignment="1">
      <alignment horizontal="center"/>
    </xf>
    <xf numFmtId="182" fontId="35" fillId="6" borderId="50" xfId="0" applyNumberFormat="1" applyFont="1" applyFill="1" applyBorder="1" applyAlignment="1">
      <alignment horizontal="center"/>
    </xf>
    <xf numFmtId="179" fontId="35" fillId="6" borderId="50" xfId="30" applyNumberFormat="1" applyFont="1" applyFill="1" applyBorder="1" applyAlignment="1">
      <alignment horizontal="center"/>
    </xf>
    <xf numFmtId="180" fontId="35" fillId="9" borderId="28" xfId="0" applyNumberFormat="1" applyFont="1" applyFill="1" applyBorder="1" applyAlignment="1">
      <alignment horizontal="right" readingOrder="1"/>
    </xf>
    <xf numFmtId="180" fontId="35" fillId="9" borderId="4" xfId="0" applyNumberFormat="1" applyFont="1" applyFill="1" applyBorder="1" applyAlignment="1">
      <alignment horizontal="right" readingOrder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center" wrapText="1"/>
    </xf>
    <xf numFmtId="49" fontId="42" fillId="0" borderId="0" xfId="0" applyNumberFormat="1" applyFont="1"/>
    <xf numFmtId="1" fontId="42" fillId="0" borderId="0" xfId="0" applyNumberFormat="1" applyFont="1"/>
    <xf numFmtId="176" fontId="42" fillId="0" borderId="0" xfId="0" applyNumberFormat="1" applyFont="1"/>
    <xf numFmtId="175" fontId="42" fillId="0" borderId="0" xfId="30" applyNumberFormat="1" applyFont="1" applyAlignment="1">
      <alignment horizontal="center"/>
    </xf>
    <xf numFmtId="175" fontId="42" fillId="0" borderId="0" xfId="30" applyNumberFormat="1" applyFont="1" applyBorder="1" applyAlignment="1">
      <alignment horizontal="center"/>
    </xf>
    <xf numFmtId="167" fontId="35" fillId="0" borderId="0" xfId="0" applyNumberFormat="1" applyFont="1" applyAlignment="1">
      <alignment horizontal="right" readingOrder="1"/>
    </xf>
    <xf numFmtId="181" fontId="42" fillId="0" borderId="0" xfId="0" applyNumberFormat="1" applyFont="1"/>
    <xf numFmtId="167" fontId="35" fillId="12" borderId="0" xfId="0" applyNumberFormat="1" applyFont="1" applyFill="1" applyAlignment="1">
      <alignment horizontal="right" readingOrder="1"/>
    </xf>
    <xf numFmtId="167" fontId="35" fillId="13" borderId="0" xfId="0" applyNumberFormat="1" applyFont="1" applyFill="1" applyAlignment="1">
      <alignment horizontal="right" readingOrder="1"/>
    </xf>
    <xf numFmtId="49" fontId="35" fillId="0" borderId="0" xfId="0" applyNumberFormat="1" applyFont="1" applyAlignment="1">
      <alignment horizontal="right" readingOrder="1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49" fontId="42" fillId="0" borderId="0" xfId="0" applyNumberFormat="1" applyFont="1" applyFill="1"/>
    <xf numFmtId="1" fontId="42" fillId="0" borderId="0" xfId="0" applyNumberFormat="1" applyFont="1" applyFill="1"/>
    <xf numFmtId="1" fontId="36" fillId="0" borderId="0" xfId="0" applyNumberFormat="1" applyFont="1" applyFill="1" applyAlignment="1">
      <alignment horizontal="center"/>
    </xf>
    <xf numFmtId="0" fontId="36" fillId="0" borderId="25" xfId="0" applyFont="1" applyFill="1" applyBorder="1"/>
    <xf numFmtId="177" fontId="35" fillId="0" borderId="6" xfId="30" applyNumberFormat="1" applyFont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175" fontId="35" fillId="8" borderId="21" xfId="30" applyNumberFormat="1" applyFont="1" applyFill="1" applyBorder="1" applyAlignment="1">
      <alignment horizontal="center"/>
    </xf>
    <xf numFmtId="177" fontId="3" fillId="8" borderId="21" xfId="30" applyNumberFormat="1" applyFont="1" applyFill="1" applyBorder="1" applyAlignment="1">
      <alignment horizontal="center"/>
    </xf>
    <xf numFmtId="177" fontId="35" fillId="8" borderId="21" xfId="30" applyNumberFormat="1" applyFont="1" applyFill="1" applyBorder="1" applyAlignment="1">
      <alignment horizontal="center"/>
    </xf>
    <xf numFmtId="44" fontId="47" fillId="14" borderId="62" xfId="31" applyFont="1" applyFill="1" applyBorder="1"/>
    <xf numFmtId="180" fontId="36" fillId="0" borderId="0" xfId="0" applyNumberFormat="1" applyFont="1"/>
    <xf numFmtId="180" fontId="12" fillId="0" borderId="0" xfId="0" applyNumberFormat="1" applyFont="1"/>
    <xf numFmtId="43" fontId="12" fillId="0" borderId="0" xfId="0" applyNumberFormat="1" applyFont="1"/>
    <xf numFmtId="44" fontId="0" fillId="0" borderId="0" xfId="0" applyNumberFormat="1"/>
    <xf numFmtId="0" fontId="48" fillId="0" borderId="0" xfId="0" applyFont="1"/>
    <xf numFmtId="44" fontId="48" fillId="0" borderId="0" xfId="0" applyNumberFormat="1" applyFont="1"/>
    <xf numFmtId="172" fontId="16" fillId="0" borderId="32" xfId="1" applyNumberFormat="1" applyFont="1" applyFill="1" applyBorder="1"/>
    <xf numFmtId="172" fontId="16" fillId="9" borderId="32" xfId="1" applyNumberFormat="1" applyFont="1" applyFill="1" applyBorder="1"/>
    <xf numFmtId="172" fontId="16" fillId="9" borderId="9" xfId="1" applyNumberFormat="1" applyFont="1" applyFill="1" applyBorder="1"/>
    <xf numFmtId="0" fontId="0" fillId="0" borderId="0" xfId="0" applyAlignment="1">
      <alignment horizontal="center"/>
    </xf>
    <xf numFmtId="180" fontId="0" fillId="0" borderId="0" xfId="0" applyNumberFormat="1"/>
    <xf numFmtId="0" fontId="48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83" fontId="0" fillId="0" borderId="0" xfId="0" applyNumberFormat="1"/>
    <xf numFmtId="180" fontId="48" fillId="0" borderId="0" xfId="0" applyNumberFormat="1" applyFont="1"/>
    <xf numFmtId="44" fontId="0" fillId="0" borderId="0" xfId="0" applyNumberFormat="1" applyAlignment="1"/>
    <xf numFmtId="183" fontId="48" fillId="0" borderId="0" xfId="0" applyNumberFormat="1" applyFont="1"/>
    <xf numFmtId="183" fontId="0" fillId="0" borderId="0" xfId="0" applyNumberFormat="1" applyFont="1"/>
    <xf numFmtId="44" fontId="48" fillId="0" borderId="0" xfId="0" applyNumberFormat="1" applyFont="1" applyAlignment="1"/>
    <xf numFmtId="9" fontId="17" fillId="0" borderId="0" xfId="1" applyNumberFormat="1" applyFont="1"/>
    <xf numFmtId="172" fontId="16" fillId="0" borderId="11" xfId="1" applyNumberFormat="1" applyFont="1" applyBorder="1"/>
    <xf numFmtId="172" fontId="16" fillId="0" borderId="13" xfId="1" applyNumberFormat="1" applyFont="1" applyBorder="1"/>
    <xf numFmtId="172" fontId="16" fillId="0" borderId="49" xfId="1" applyNumberFormat="1" applyFont="1" applyBorder="1"/>
    <xf numFmtId="172" fontId="16" fillId="0" borderId="47" xfId="1" applyNumberFormat="1" applyFont="1" applyBorder="1"/>
    <xf numFmtId="172" fontId="16" fillId="0" borderId="49" xfId="1" applyNumberFormat="1" applyFont="1" applyFill="1" applyBorder="1"/>
    <xf numFmtId="172" fontId="16" fillId="9" borderId="49" xfId="1" applyNumberFormat="1" applyFont="1" applyFill="1" applyBorder="1"/>
    <xf numFmtId="172" fontId="17" fillId="3" borderId="27" xfId="1" applyNumberFormat="1" applyFont="1" applyFill="1" applyBorder="1"/>
    <xf numFmtId="172" fontId="17" fillId="3" borderId="28" xfId="1" applyNumberFormat="1" applyFont="1" applyFill="1" applyBorder="1"/>
    <xf numFmtId="0" fontId="12" fillId="6" borderId="0" xfId="0" applyFont="1" applyFill="1"/>
    <xf numFmtId="172" fontId="12" fillId="6" borderId="0" xfId="0" applyNumberFormat="1" applyFont="1" applyFill="1"/>
    <xf numFmtId="0" fontId="14" fillId="6" borderId="0" xfId="0" applyFont="1" applyFill="1"/>
    <xf numFmtId="172" fontId="12" fillId="6" borderId="16" xfId="0" applyNumberFormat="1" applyFont="1" applyFill="1" applyBorder="1"/>
    <xf numFmtId="180" fontId="14" fillId="0" borderId="0" xfId="0" applyNumberFormat="1" applyFont="1"/>
    <xf numFmtId="0" fontId="36" fillId="12" borderId="0" xfId="0" applyFont="1" applyFill="1"/>
    <xf numFmtId="0" fontId="42" fillId="12" borderId="0" xfId="0" applyFont="1" applyFill="1" applyAlignment="1">
      <alignment horizontal="center"/>
    </xf>
    <xf numFmtId="44" fontId="42" fillId="0" borderId="0" xfId="0" applyNumberFormat="1" applyFont="1"/>
    <xf numFmtId="0" fontId="35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44" fontId="3" fillId="0" borderId="0" xfId="0" applyNumberFormat="1" applyFont="1"/>
    <xf numFmtId="44" fontId="35" fillId="0" borderId="0" xfId="0" applyNumberFormat="1" applyFont="1"/>
    <xf numFmtId="39" fontId="16" fillId="0" borderId="36" xfId="1" applyNumberFormat="1" applyFont="1" applyBorder="1"/>
    <xf numFmtId="39" fontId="16" fillId="0" borderId="39" xfId="1" applyNumberFormat="1" applyFont="1" applyBorder="1"/>
    <xf numFmtId="39" fontId="16" fillId="0" borderId="31" xfId="1" applyNumberFormat="1" applyFont="1" applyBorder="1"/>
    <xf numFmtId="39" fontId="16" fillId="0" borderId="37" xfId="1" applyNumberFormat="1" applyFont="1" applyBorder="1"/>
    <xf numFmtId="39" fontId="16" fillId="0" borderId="38" xfId="1" applyNumberFormat="1" applyFont="1" applyBorder="1"/>
    <xf numFmtId="39" fontId="17" fillId="3" borderId="17" xfId="1" applyNumberFormat="1" applyFont="1" applyFill="1" applyBorder="1"/>
    <xf numFmtId="39" fontId="17" fillId="3" borderId="24" xfId="1" applyNumberFormat="1" applyFont="1" applyFill="1" applyBorder="1"/>
    <xf numFmtId="39" fontId="17" fillId="3" borderId="3" xfId="1" applyNumberFormat="1" applyFont="1" applyFill="1" applyBorder="1"/>
    <xf numFmtId="39" fontId="17" fillId="3" borderId="4" xfId="1" applyNumberFormat="1" applyFont="1" applyFill="1" applyBorder="1"/>
    <xf numFmtId="39" fontId="16" fillId="0" borderId="31" xfId="1" applyNumberFormat="1" applyFont="1" applyFill="1" applyBorder="1"/>
    <xf numFmtId="39" fontId="16" fillId="0" borderId="40" xfId="1" applyNumberFormat="1" applyFont="1" applyBorder="1"/>
    <xf numFmtId="39" fontId="16" fillId="0" borderId="40" xfId="1" applyNumberFormat="1" applyFont="1" applyFill="1" applyBorder="1"/>
    <xf numFmtId="39" fontId="16" fillId="0" borderId="41" xfId="1" applyNumberFormat="1" applyFont="1" applyBorder="1"/>
    <xf numFmtId="39" fontId="12" fillId="0" borderId="0" xfId="0" applyNumberFormat="1" applyFont="1"/>
    <xf numFmtId="39" fontId="12" fillId="0" borderId="0" xfId="0" applyNumberFormat="1" applyFont="1" applyFill="1"/>
    <xf numFmtId="39" fontId="17" fillId="0" borderId="3" xfId="1" applyNumberFormat="1" applyFont="1" applyFill="1" applyBorder="1"/>
    <xf numFmtId="39" fontId="17" fillId="0" borderId="4" xfId="1" applyNumberFormat="1" applyFont="1" applyFill="1" applyBorder="1"/>
    <xf numFmtId="44" fontId="35" fillId="0" borderId="0" xfId="0" applyNumberFormat="1" applyFont="1" applyBorder="1"/>
    <xf numFmtId="43" fontId="49" fillId="0" borderId="0" xfId="0" applyNumberFormat="1" applyFont="1"/>
    <xf numFmtId="172" fontId="12" fillId="0" borderId="13" xfId="1" applyNumberFormat="1" applyFont="1" applyBorder="1"/>
    <xf numFmtId="0" fontId="42" fillId="0" borderId="0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39" fontId="16" fillId="0" borderId="37" xfId="1" applyNumberFormat="1" applyFont="1" applyBorder="1" applyAlignment="1">
      <alignment horizontal="center"/>
    </xf>
    <xf numFmtId="167" fontId="3" fillId="0" borderId="9" xfId="0" applyNumberFormat="1" applyFont="1" applyFill="1" applyBorder="1" applyAlignment="1">
      <alignment horizontal="right" readingOrder="1"/>
    </xf>
    <xf numFmtId="44" fontId="0" fillId="11" borderId="0" xfId="0" applyNumberFormat="1" applyFill="1"/>
    <xf numFmtId="180" fontId="0" fillId="11" borderId="0" xfId="0" applyNumberFormat="1" applyFill="1"/>
    <xf numFmtId="0" fontId="36" fillId="0" borderId="2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/>
    </xf>
    <xf numFmtId="0" fontId="42" fillId="0" borderId="20" xfId="0" applyFont="1" applyFill="1" applyBorder="1" applyAlignment="1">
      <alignment horizontal="center"/>
    </xf>
    <xf numFmtId="0" fontId="42" fillId="0" borderId="21" xfId="0" applyFont="1" applyFill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36" fillId="0" borderId="0" xfId="0" applyFont="1" applyBorder="1"/>
    <xf numFmtId="0" fontId="42" fillId="0" borderId="21" xfId="0" applyFont="1" applyBorder="1" applyAlignment="1">
      <alignment horizontal="center"/>
    </xf>
    <xf numFmtId="44" fontId="36" fillId="0" borderId="20" xfId="0" applyNumberFormat="1" applyFont="1" applyBorder="1"/>
    <xf numFmtId="44" fontId="36" fillId="0" borderId="0" xfId="0" applyNumberFormat="1" applyFont="1" applyBorder="1"/>
    <xf numFmtId="0" fontId="36" fillId="0" borderId="21" xfId="0" applyFont="1" applyBorder="1"/>
    <xf numFmtId="44" fontId="36" fillId="11" borderId="20" xfId="0" applyNumberFormat="1" applyFont="1" applyFill="1" applyBorder="1"/>
    <xf numFmtId="44" fontId="36" fillId="11" borderId="0" xfId="0" applyNumberFormat="1" applyFont="1" applyFill="1" applyBorder="1"/>
    <xf numFmtId="0" fontId="36" fillId="0" borderId="20" xfId="0" applyFont="1" applyBorder="1"/>
    <xf numFmtId="44" fontId="42" fillId="11" borderId="20" xfId="0" applyNumberFormat="1" applyFont="1" applyFill="1" applyBorder="1"/>
    <xf numFmtId="44" fontId="42" fillId="11" borderId="0" xfId="0" applyNumberFormat="1" applyFont="1" applyFill="1" applyBorder="1"/>
    <xf numFmtId="44" fontId="42" fillId="11" borderId="21" xfId="0" applyNumberFormat="1" applyFont="1" applyFill="1" applyBorder="1"/>
    <xf numFmtId="180" fontId="42" fillId="11" borderId="0" xfId="0" applyNumberFormat="1" applyFont="1" applyFill="1" applyBorder="1"/>
    <xf numFmtId="0" fontId="36" fillId="0" borderId="5" xfId="0" applyFont="1" applyBorder="1"/>
    <xf numFmtId="0" fontId="36" fillId="0" borderId="22" xfId="0" applyFont="1" applyBorder="1"/>
    <xf numFmtId="0" fontId="36" fillId="0" borderId="23" xfId="0" applyFont="1" applyBorder="1"/>
    <xf numFmtId="172" fontId="12" fillId="6" borderId="0" xfId="0" applyNumberFormat="1" applyFont="1" applyFill="1" applyAlignment="1">
      <alignment horizontal="center"/>
    </xf>
    <xf numFmtId="172" fontId="12" fillId="0" borderId="0" xfId="0" applyNumberFormat="1" applyFont="1" applyAlignment="1">
      <alignment horizontal="center"/>
    </xf>
    <xf numFmtId="0" fontId="0" fillId="0" borderId="9" xfId="0" applyBorder="1"/>
    <xf numFmtId="0" fontId="16" fillId="0" borderId="0" xfId="1" applyFont="1" applyAlignment="1">
      <alignment horizontal="center"/>
    </xf>
    <xf numFmtId="172" fontId="17" fillId="3" borderId="17" xfId="1" applyNumberFormat="1" applyFont="1" applyFill="1" applyBorder="1" applyAlignment="1">
      <alignment horizontal="center"/>
    </xf>
    <xf numFmtId="39" fontId="16" fillId="0" borderId="36" xfId="1" applyNumberFormat="1" applyFont="1" applyBorder="1" applyAlignment="1">
      <alignment horizontal="center"/>
    </xf>
    <xf numFmtId="39" fontId="16" fillId="0" borderId="43" xfId="1" applyNumberFormat="1" applyFont="1" applyBorder="1" applyAlignment="1">
      <alignment horizontal="center"/>
    </xf>
    <xf numFmtId="172" fontId="16" fillId="0" borderId="43" xfId="1" applyNumberFormat="1" applyFont="1" applyBorder="1" applyAlignment="1">
      <alignment horizontal="center"/>
    </xf>
    <xf numFmtId="39" fontId="16" fillId="0" borderId="20" xfId="1" applyNumberFormat="1" applyFont="1" applyBorder="1" applyAlignment="1">
      <alignment horizontal="center"/>
    </xf>
    <xf numFmtId="39" fontId="17" fillId="3" borderId="17" xfId="1" applyNumberFormat="1" applyFont="1" applyFill="1" applyBorder="1" applyAlignment="1">
      <alignment horizontal="center"/>
    </xf>
    <xf numFmtId="39" fontId="16" fillId="0" borderId="38" xfId="1" applyNumberFormat="1" applyFont="1" applyBorder="1" applyAlignment="1">
      <alignment horizontal="center"/>
    </xf>
    <xf numFmtId="39" fontId="12" fillId="0" borderId="0" xfId="0" applyNumberFormat="1" applyFont="1" applyAlignment="1">
      <alignment horizontal="center"/>
    </xf>
    <xf numFmtId="39" fontId="17" fillId="0" borderId="3" xfId="1" applyNumberFormat="1" applyFont="1" applyFill="1" applyBorder="1" applyAlignment="1">
      <alignment horizontal="center"/>
    </xf>
    <xf numFmtId="172" fontId="16" fillId="0" borderId="0" xfId="1" applyNumberFormat="1" applyFont="1" applyAlignment="1">
      <alignment horizontal="center"/>
    </xf>
    <xf numFmtId="172" fontId="18" fillId="3" borderId="16" xfId="1" applyNumberFormat="1" applyFont="1" applyFill="1" applyBorder="1" applyAlignment="1">
      <alignment horizontal="center"/>
    </xf>
    <xf numFmtId="172" fontId="18" fillId="0" borderId="0" xfId="1" applyNumberFormat="1" applyFont="1" applyAlignment="1">
      <alignment horizontal="center"/>
    </xf>
    <xf numFmtId="172" fontId="17" fillId="3" borderId="3" xfId="1" applyNumberFormat="1" applyFont="1" applyFill="1" applyBorder="1" applyAlignment="1">
      <alignment horizontal="center"/>
    </xf>
    <xf numFmtId="172" fontId="16" fillId="0" borderId="8" xfId="1" applyNumberFormat="1" applyFont="1" applyBorder="1" applyAlignment="1">
      <alignment horizontal="center"/>
    </xf>
    <xf numFmtId="172" fontId="16" fillId="0" borderId="15" xfId="1" applyNumberFormat="1" applyFont="1" applyBorder="1" applyAlignment="1">
      <alignment horizontal="center"/>
    </xf>
    <xf numFmtId="172" fontId="16" fillId="9" borderId="15" xfId="1" applyNumberFormat="1" applyFont="1" applyFill="1" applyBorder="1" applyAlignment="1">
      <alignment horizontal="center"/>
    </xf>
    <xf numFmtId="172" fontId="16" fillId="0" borderId="15" xfId="1" applyNumberFormat="1" applyFont="1" applyFill="1" applyBorder="1" applyAlignment="1">
      <alignment horizontal="center"/>
    </xf>
    <xf numFmtId="172" fontId="16" fillId="0" borderId="52" xfId="1" applyNumberFormat="1" applyFont="1" applyBorder="1" applyAlignment="1">
      <alignment horizontal="center"/>
    </xf>
    <xf numFmtId="172" fontId="16" fillId="0" borderId="8" xfId="1" applyNumberFormat="1" applyFont="1" applyFill="1" applyBorder="1" applyAlignment="1">
      <alignment horizontal="center"/>
    </xf>
    <xf numFmtId="172" fontId="16" fillId="0" borderId="2" xfId="1" applyNumberFormat="1" applyFont="1" applyFill="1" applyBorder="1" applyAlignment="1">
      <alignment horizontal="center"/>
    </xf>
    <xf numFmtId="172" fontId="16" fillId="9" borderId="2" xfId="1" applyNumberFormat="1" applyFont="1" applyFill="1" applyBorder="1" applyAlignment="1">
      <alignment horizontal="center"/>
    </xf>
    <xf numFmtId="172" fontId="13" fillId="3" borderId="3" xfId="0" applyNumberFormat="1" applyFont="1" applyFill="1" applyBorder="1" applyAlignment="1">
      <alignment horizontal="center"/>
    </xf>
    <xf numFmtId="172" fontId="16" fillId="0" borderId="63" xfId="1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2" fontId="16" fillId="0" borderId="0" xfId="1" applyNumberFormat="1" applyFont="1" applyBorder="1" applyAlignment="1">
      <alignment horizontal="center"/>
    </xf>
    <xf numFmtId="172" fontId="17" fillId="3" borderId="27" xfId="1" applyNumberFormat="1" applyFont="1" applyFill="1" applyBorder="1" applyAlignment="1">
      <alignment horizontal="center"/>
    </xf>
    <xf numFmtId="172" fontId="17" fillId="3" borderId="16" xfId="1" applyNumberFormat="1" applyFont="1" applyFill="1" applyBorder="1" applyAlignment="1">
      <alignment horizontal="center"/>
    </xf>
    <xf numFmtId="172" fontId="13" fillId="3" borderId="16" xfId="0" applyNumberFormat="1" applyFont="1" applyFill="1" applyBorder="1" applyAlignment="1">
      <alignment horizontal="center"/>
    </xf>
    <xf numFmtId="172" fontId="13" fillId="3" borderId="22" xfId="0" applyNumberFormat="1" applyFont="1" applyFill="1" applyBorder="1" applyAlignment="1">
      <alignment horizontal="center"/>
    </xf>
    <xf numFmtId="172" fontId="12" fillId="6" borderId="0" xfId="0" applyNumberFormat="1" applyFont="1" applyFill="1" applyBorder="1" applyAlignment="1">
      <alignment horizontal="center"/>
    </xf>
    <xf numFmtId="172" fontId="16" fillId="0" borderId="13" xfId="1" applyNumberFormat="1" applyFont="1" applyFill="1" applyBorder="1"/>
    <xf numFmtId="172" fontId="13" fillId="0" borderId="0" xfId="0" applyNumberFormat="1" applyFont="1"/>
    <xf numFmtId="172" fontId="16" fillId="6" borderId="15" xfId="1" applyNumberFormat="1" applyFont="1" applyFill="1" applyBorder="1" applyAlignment="1">
      <alignment horizontal="center"/>
    </xf>
    <xf numFmtId="172" fontId="17" fillId="6" borderId="27" xfId="1" applyNumberFormat="1" applyFont="1" applyFill="1" applyBorder="1" applyAlignment="1">
      <alignment horizontal="center"/>
    </xf>
    <xf numFmtId="39" fontId="16" fillId="0" borderId="3" xfId="1" applyNumberFormat="1" applyFont="1" applyFill="1" applyBorder="1" applyAlignment="1">
      <alignment horizontal="center"/>
    </xf>
    <xf numFmtId="172" fontId="16" fillId="0" borderId="32" xfId="1" applyNumberFormat="1" applyFont="1" applyBorder="1" applyAlignment="1">
      <alignment horizontal="center"/>
    </xf>
    <xf numFmtId="172" fontId="16" fillId="6" borderId="9" xfId="1" applyNumberFormat="1" applyFont="1" applyFill="1" applyBorder="1"/>
    <xf numFmtId="172" fontId="17" fillId="6" borderId="27" xfId="1" applyNumberFormat="1" applyFont="1" applyFill="1" applyBorder="1"/>
    <xf numFmtId="0" fontId="42" fillId="0" borderId="0" xfId="0" applyFont="1" applyBorder="1" applyAlignment="1">
      <alignment horizontal="center"/>
    </xf>
    <xf numFmtId="0" fontId="35" fillId="0" borderId="2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9" borderId="29" xfId="0" applyFont="1" applyFill="1" applyBorder="1" applyAlignment="1">
      <alignment horizontal="center"/>
    </xf>
    <xf numFmtId="0" fontId="35" fillId="9" borderId="50" xfId="0" applyFont="1" applyFill="1" applyBorder="1" applyAlignment="1">
      <alignment horizontal="center"/>
    </xf>
    <xf numFmtId="0" fontId="35" fillId="9" borderId="30" xfId="0" applyFont="1" applyFill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42" fillId="12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177" fontId="34" fillId="3" borderId="50" xfId="28" applyNumberFormat="1" applyFont="1" applyFill="1" applyBorder="1" applyAlignment="1">
      <alignment horizontal="center" vertical="center" wrapText="1"/>
    </xf>
    <xf numFmtId="177" fontId="34" fillId="3" borderId="46" xfId="28" applyNumberFormat="1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4" fillId="3" borderId="3" xfId="0" applyFont="1" applyFill="1" applyBorder="1" applyAlignment="1">
      <alignment horizontal="center"/>
    </xf>
    <xf numFmtId="0" fontId="34" fillId="3" borderId="28" xfId="0" applyFont="1" applyFill="1" applyBorder="1" applyAlignment="1">
      <alignment horizontal="center"/>
    </xf>
    <xf numFmtId="176" fontId="34" fillId="3" borderId="3" xfId="28" applyNumberFormat="1" applyFont="1" applyFill="1" applyBorder="1" applyAlignment="1">
      <alignment horizontal="center" wrapText="1"/>
    </xf>
    <xf numFmtId="176" fontId="34" fillId="3" borderId="28" xfId="28" applyNumberFormat="1" applyFont="1" applyFill="1" applyBorder="1" applyAlignment="1">
      <alignment horizontal="center" wrapText="1"/>
    </xf>
    <xf numFmtId="0" fontId="34" fillId="3" borderId="27" xfId="0" applyFont="1" applyFill="1" applyBorder="1" applyAlignment="1">
      <alignment horizontal="center"/>
    </xf>
    <xf numFmtId="176" fontId="34" fillId="7" borderId="3" xfId="28" applyNumberFormat="1" applyFont="1" applyFill="1" applyBorder="1" applyAlignment="1">
      <alignment horizontal="center"/>
    </xf>
    <xf numFmtId="176" fontId="34" fillId="7" borderId="28" xfId="28" applyNumberFormat="1" applyFont="1" applyFill="1" applyBorder="1" applyAlignment="1">
      <alignment horizontal="center"/>
    </xf>
    <xf numFmtId="165" fontId="28" fillId="0" borderId="3" xfId="0" applyNumberFormat="1" applyFont="1" applyFill="1" applyBorder="1" applyAlignment="1" applyProtection="1">
      <alignment horizontal="center"/>
      <protection hidden="1"/>
    </xf>
    <xf numFmtId="165" fontId="28" fillId="0" borderId="28" xfId="0" applyNumberFormat="1" applyFont="1" applyFill="1" applyBorder="1" applyAlignment="1" applyProtection="1">
      <alignment horizontal="center"/>
      <protection hidden="1"/>
    </xf>
    <xf numFmtId="165" fontId="28" fillId="5" borderId="3" xfId="0" applyNumberFormat="1" applyFont="1" applyFill="1" applyBorder="1" applyAlignment="1" applyProtection="1">
      <alignment horizontal="center"/>
      <protection hidden="1"/>
    </xf>
    <xf numFmtId="165" fontId="28" fillId="5" borderId="28" xfId="0" applyNumberFormat="1" applyFont="1" applyFill="1" applyBorder="1" applyAlignment="1" applyProtection="1">
      <alignment horizontal="center"/>
      <protection hidden="1"/>
    </xf>
    <xf numFmtId="165" fontId="21" fillId="0" borderId="17" xfId="0" applyNumberFormat="1" applyFont="1" applyFill="1" applyBorder="1" applyAlignment="1" applyProtection="1">
      <alignment horizontal="center"/>
      <protection hidden="1"/>
    </xf>
    <xf numFmtId="165" fontId="21" fillId="0" borderId="19" xfId="0" applyNumberFormat="1" applyFont="1" applyFill="1" applyBorder="1" applyAlignment="1" applyProtection="1">
      <alignment horizontal="center"/>
      <protection hidden="1"/>
    </xf>
    <xf numFmtId="165" fontId="21" fillId="5" borderId="3" xfId="0" applyNumberFormat="1" applyFont="1" applyFill="1" applyBorder="1" applyAlignment="1" applyProtection="1">
      <alignment horizontal="center"/>
      <protection hidden="1"/>
    </xf>
    <xf numFmtId="165" fontId="21" fillId="5" borderId="28" xfId="0" applyNumberFormat="1" applyFont="1" applyFill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 wrapText="1"/>
      <protection hidden="1"/>
    </xf>
    <xf numFmtId="0" fontId="22" fillId="0" borderId="18" xfId="0" applyFont="1" applyBorder="1" applyAlignment="1" applyProtection="1">
      <alignment horizontal="center" vertical="center" wrapText="1"/>
      <protection hidden="1"/>
    </xf>
    <xf numFmtId="0" fontId="22" fillId="0" borderId="19" xfId="0" applyFont="1" applyBorder="1" applyAlignment="1" applyProtection="1">
      <alignment horizontal="center" vertical="center" wrapText="1"/>
      <protection hidden="1"/>
    </xf>
    <xf numFmtId="0" fontId="22" fillId="0" borderId="5" xfId="0" applyFont="1" applyBorder="1" applyAlignment="1" applyProtection="1">
      <alignment horizontal="center" vertical="center" wrapText="1"/>
      <protection hidden="1"/>
    </xf>
    <xf numFmtId="0" fontId="22" fillId="0" borderId="22" xfId="0" applyFont="1" applyBorder="1" applyAlignment="1" applyProtection="1">
      <alignment horizontal="center" vertical="center" wrapText="1"/>
      <protection hidden="1"/>
    </xf>
    <xf numFmtId="0" fontId="22" fillId="0" borderId="23" xfId="0" applyFont="1" applyBorder="1" applyAlignment="1" applyProtection="1">
      <alignment horizontal="center" vertical="center" wrapText="1"/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0" fontId="24" fillId="0" borderId="19" xfId="0" applyFont="1" applyBorder="1" applyAlignment="1" applyProtection="1">
      <alignment horizontal="center" vertical="center"/>
      <protection hidden="1"/>
    </xf>
    <xf numFmtId="0" fontId="24" fillId="0" borderId="5" xfId="0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0" fontId="24" fillId="0" borderId="23" xfId="0" applyFont="1" applyBorder="1" applyAlignment="1" applyProtection="1">
      <alignment horizontal="center" vertical="center"/>
      <protection hidden="1"/>
    </xf>
    <xf numFmtId="0" fontId="25" fillId="5" borderId="3" xfId="0" applyFont="1" applyFill="1" applyBorder="1" applyAlignment="1" applyProtection="1">
      <alignment horizontal="center" vertical="center"/>
      <protection hidden="1"/>
    </xf>
    <xf numFmtId="0" fontId="25" fillId="5" borderId="27" xfId="0" applyFont="1" applyFill="1" applyBorder="1" applyAlignment="1" applyProtection="1">
      <alignment horizontal="center" vertical="center"/>
      <protection hidden="1"/>
    </xf>
    <xf numFmtId="0" fontId="25" fillId="5" borderId="28" xfId="0" applyFont="1" applyFill="1" applyBorder="1" applyAlignment="1" applyProtection="1">
      <alignment horizontal="center" vertical="center"/>
      <protection hidden="1"/>
    </xf>
    <xf numFmtId="0" fontId="27" fillId="0" borderId="3" xfId="0" applyFont="1" applyFill="1" applyBorder="1" applyAlignment="1" applyProtection="1">
      <alignment horizontal="center" vertical="center"/>
      <protection hidden="1"/>
    </xf>
    <xf numFmtId="0" fontId="27" fillId="0" borderId="27" xfId="0" applyFont="1" applyFill="1" applyBorder="1" applyAlignment="1" applyProtection="1">
      <alignment horizontal="center" vertical="center"/>
      <protection hidden="1"/>
    </xf>
    <xf numFmtId="0" fontId="27" fillId="0" borderId="28" xfId="0" applyFont="1" applyFill="1" applyBorder="1" applyAlignment="1" applyProtection="1">
      <alignment horizontal="center" vertical="center"/>
      <protection hidden="1"/>
    </xf>
    <xf numFmtId="0" fontId="21" fillId="0" borderId="17" xfId="0" applyFont="1" applyBorder="1" applyAlignment="1" applyProtection="1">
      <alignment horizontal="center"/>
      <protection hidden="1"/>
    </xf>
    <xf numFmtId="0" fontId="21" fillId="0" borderId="18" xfId="0" applyFont="1" applyBorder="1" applyAlignment="1" applyProtection="1">
      <alignment horizontal="center"/>
      <protection hidden="1"/>
    </xf>
    <xf numFmtId="0" fontId="21" fillId="0" borderId="19" xfId="0" applyFont="1" applyBorder="1" applyAlignment="1" applyProtection="1">
      <alignment horizontal="center"/>
      <protection hidden="1"/>
    </xf>
    <xf numFmtId="165" fontId="28" fillId="5" borderId="5" xfId="0" applyNumberFormat="1" applyFont="1" applyFill="1" applyBorder="1" applyAlignment="1" applyProtection="1">
      <alignment horizontal="center"/>
      <protection hidden="1"/>
    </xf>
    <xf numFmtId="165" fontId="28" fillId="5" borderId="23" xfId="0" applyNumberFormat="1" applyFont="1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27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165" fontId="28" fillId="0" borderId="3" xfId="0" applyNumberFormat="1" applyFont="1" applyBorder="1" applyAlignment="1" applyProtection="1">
      <alignment horizontal="center"/>
      <protection hidden="1"/>
    </xf>
    <xf numFmtId="165" fontId="28" fillId="0" borderId="27" xfId="0" applyNumberFormat="1" applyFont="1" applyBorder="1" applyAlignment="1" applyProtection="1">
      <alignment horizontal="center"/>
      <protection hidden="1"/>
    </xf>
    <xf numFmtId="165" fontId="28" fillId="0" borderId="28" xfId="0" applyNumberFormat="1" applyFont="1" applyBorder="1" applyAlignment="1" applyProtection="1">
      <alignment horizontal="center"/>
      <protection hidden="1"/>
    </xf>
    <xf numFmtId="0" fontId="27" fillId="0" borderId="18" xfId="0" applyFont="1" applyFill="1" applyBorder="1" applyAlignment="1" applyProtection="1">
      <alignment horizontal="left" vertical="top" wrapText="1"/>
      <protection hidden="1"/>
    </xf>
    <xf numFmtId="0" fontId="27" fillId="0" borderId="0" xfId="0" applyFont="1" applyFill="1" applyBorder="1" applyAlignment="1" applyProtection="1">
      <alignment horizontal="left" vertical="top" wrapText="1"/>
      <protection hidden="1"/>
    </xf>
    <xf numFmtId="0" fontId="42" fillId="0" borderId="17" xfId="0" applyFont="1" applyBorder="1" applyAlignment="1">
      <alignment horizontal="center"/>
    </xf>
    <xf numFmtId="0" fontId="42" fillId="0" borderId="18" xfId="0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50" fillId="0" borderId="22" xfId="0" applyFont="1" applyBorder="1" applyAlignment="1">
      <alignment horizontal="center"/>
    </xf>
    <xf numFmtId="0" fontId="50" fillId="0" borderId="0" xfId="0" applyFont="1" applyAlignment="1">
      <alignment horizontal="center"/>
    </xf>
    <xf numFmtId="39" fontId="16" fillId="0" borderId="39" xfId="1" applyNumberFormat="1" applyFont="1" applyFill="1" applyBorder="1"/>
  </cellXfs>
  <cellStyles count="32">
    <cellStyle name="Comma" xfId="28" builtinId="3"/>
    <cellStyle name="Comma 2" xfId="30" xr:uid="{00000000-0005-0000-0000-000001000000}"/>
    <cellStyle name="Currency" xfId="31" builtinId="4"/>
    <cellStyle name="FRxAmtStyle" xfId="9" xr:uid="{00000000-0005-0000-0000-000003000000}"/>
    <cellStyle name="FRxCurrStyle" xfId="10" xr:uid="{00000000-0005-0000-0000-000004000000}"/>
    <cellStyle name="FRxPcntStyle" xfId="11" xr:uid="{00000000-0005-0000-0000-000005000000}"/>
    <cellStyle name="Hyperlink 2" xfId="5" xr:uid="{00000000-0005-0000-0000-000006000000}"/>
    <cellStyle name="Hyperlink 3" xfId="3" xr:uid="{00000000-0005-0000-0000-000007000000}"/>
    <cellStyle name="Normal" xfId="0" builtinId="0"/>
    <cellStyle name="Normal 2" xfId="4" xr:uid="{00000000-0005-0000-0000-000009000000}"/>
    <cellStyle name="Normal 2 2" xfId="8" xr:uid="{00000000-0005-0000-0000-00000A000000}"/>
    <cellStyle name="Normal 2 2 2" xfId="12" xr:uid="{00000000-0005-0000-0000-00000B000000}"/>
    <cellStyle name="Normal 2 3" xfId="6" xr:uid="{00000000-0005-0000-0000-00000C000000}"/>
    <cellStyle name="Normal 2 4" xfId="13" xr:uid="{00000000-0005-0000-0000-00000D000000}"/>
    <cellStyle name="Normal 2 5" xfId="14" xr:uid="{00000000-0005-0000-0000-00000E000000}"/>
    <cellStyle name="Normal 3" xfId="15" xr:uid="{00000000-0005-0000-0000-00000F000000}"/>
    <cellStyle name="Normal 3 2" xfId="16" xr:uid="{00000000-0005-0000-0000-000010000000}"/>
    <cellStyle name="Normal 4" xfId="17" xr:uid="{00000000-0005-0000-0000-000011000000}"/>
    <cellStyle name="Normal 5" xfId="18" xr:uid="{00000000-0005-0000-0000-000012000000}"/>
    <cellStyle name="Normal 5 2" xfId="19" xr:uid="{00000000-0005-0000-0000-000013000000}"/>
    <cellStyle name="Normal 6" xfId="20" xr:uid="{00000000-0005-0000-0000-000014000000}"/>
    <cellStyle name="Normal 6 2" xfId="2" xr:uid="{00000000-0005-0000-0000-000015000000}"/>
    <cellStyle name="Normal 6 2 2" xfId="7" xr:uid="{00000000-0005-0000-0000-000016000000}"/>
    <cellStyle name="Normal 7" xfId="21" xr:uid="{00000000-0005-0000-0000-000017000000}"/>
    <cellStyle name="Normal 8" xfId="1" xr:uid="{00000000-0005-0000-0000-000018000000}"/>
    <cellStyle name="Percent" xfId="29" builtinId="5"/>
    <cellStyle name="Percent 2 4" xfId="22" xr:uid="{00000000-0005-0000-0000-00001A000000}"/>
    <cellStyle name="STYLE1" xfId="23" xr:uid="{00000000-0005-0000-0000-00001B000000}"/>
    <cellStyle name="STYLE2" xfId="24" xr:uid="{00000000-0005-0000-0000-00001C000000}"/>
    <cellStyle name="STYLE3" xfId="25" xr:uid="{00000000-0005-0000-0000-00001D000000}"/>
    <cellStyle name="STYLE4" xfId="26" xr:uid="{00000000-0005-0000-0000-00001E000000}"/>
    <cellStyle name="STYLE5" xfId="27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666750</xdr:colOff>
      <xdr:row>0</xdr:row>
      <xdr:rowOff>114300</xdr:rowOff>
    </xdr:from>
    <xdr:to>
      <xdr:col>17</xdr:col>
      <xdr:colOff>0</xdr:colOff>
      <xdr:row>3</xdr:row>
      <xdr:rowOff>6350</xdr:rowOff>
    </xdr:to>
    <xdr:pic>
      <xdr:nvPicPr>
        <xdr:cNvPr id="2" name="Picture 1" descr="Description: IHFM Logo slogan">
          <a:extLst>
            <a:ext uri="{FF2B5EF4-FFF2-40B4-BE49-F238E27FC236}">
              <a16:creationId xmlns:a16="http://schemas.microsoft.com/office/drawing/2014/main" id="{C528FF47-103B-2141-8701-641C111A39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6450" y="114300"/>
          <a:ext cx="1263650" cy="438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114300</xdr:colOff>
      <xdr:row>0</xdr:row>
      <xdr:rowOff>133351</xdr:rowOff>
    </xdr:from>
    <xdr:to>
      <xdr:col>29</xdr:col>
      <xdr:colOff>581025</xdr:colOff>
      <xdr:row>2</xdr:row>
      <xdr:rowOff>219076</xdr:rowOff>
    </xdr:to>
    <xdr:pic>
      <xdr:nvPicPr>
        <xdr:cNvPr id="3" name="Picture 2" descr="Description: IHFM Logo slogan">
          <a:extLst>
            <a:ext uri="{FF2B5EF4-FFF2-40B4-BE49-F238E27FC236}">
              <a16:creationId xmlns:a16="http://schemas.microsoft.com/office/drawing/2014/main" id="{DD1FD11F-98EC-4859-B464-0021913D97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0" y="133351"/>
          <a:ext cx="108585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6272D341-6CA4-4134-8331-9038799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35E1B1F8-D19C-4AB3-910F-D658C6F5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89649</xdr:colOff>
      <xdr:row>1</xdr:row>
      <xdr:rowOff>42863</xdr:rowOff>
    </xdr:from>
    <xdr:to>
      <xdr:col>8</xdr:col>
      <xdr:colOff>529879</xdr:colOff>
      <xdr:row>2</xdr:row>
      <xdr:rowOff>429630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D33B86-6E7E-4CA7-B6B4-16A6D26F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799" y="252413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1D2E-528A-D24C-9D4A-563A44FE2516}">
  <sheetPr>
    <pageSetUpPr fitToPage="1"/>
  </sheetPr>
  <dimension ref="A2:U143"/>
  <sheetViews>
    <sheetView tabSelected="1" zoomScaleNormal="100" workbookViewId="0">
      <selection activeCell="S72" sqref="S72"/>
    </sheetView>
  </sheetViews>
  <sheetFormatPr baseColWidth="10" defaultColWidth="9.1640625" defaultRowHeight="14"/>
  <cols>
    <col min="1" max="1" width="31.5" style="1" customWidth="1"/>
    <col min="2" max="2" width="13.5" style="1" bestFit="1" customWidth="1"/>
    <col min="3" max="3" width="13.5" style="579" customWidth="1"/>
    <col min="4" max="4" width="4.1640625" style="579" customWidth="1"/>
    <col min="5" max="5" width="13.5" style="1" bestFit="1" customWidth="1"/>
    <col min="6" max="17" width="12.6640625" style="1" customWidth="1"/>
    <col min="18" max="18" width="9.1640625" style="1"/>
    <col min="19" max="19" width="20" style="1" customWidth="1"/>
    <col min="20" max="20" width="13.33203125" style="1" customWidth="1"/>
    <col min="21" max="21" width="10.5" style="1" bestFit="1" customWidth="1"/>
    <col min="22" max="16384" width="9.1640625" style="1"/>
  </cols>
  <sheetData>
    <row r="2" spans="1:21" ht="15.75" customHeight="1">
      <c r="A2" s="8" t="s">
        <v>0</v>
      </c>
      <c r="B2" s="5"/>
      <c r="C2" s="555"/>
      <c r="D2" s="55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1">
      <c r="A3" s="8" t="s">
        <v>284</v>
      </c>
      <c r="B3" s="5"/>
      <c r="C3" s="555"/>
      <c r="D3" s="555"/>
      <c r="E3" s="8"/>
      <c r="F3" s="8"/>
      <c r="G3" s="8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1" ht="15" thickBot="1">
      <c r="A4" s="8"/>
      <c r="B4" s="5"/>
      <c r="C4" s="555"/>
      <c r="D4" s="555"/>
      <c r="E4" s="8"/>
      <c r="F4" s="480"/>
      <c r="G4" s="8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1" ht="15" thickBot="1">
      <c r="A5" s="5"/>
      <c r="B5" s="6">
        <v>2019</v>
      </c>
      <c r="C5" s="6"/>
      <c r="D5" s="6"/>
      <c r="E5" s="6">
        <v>2020</v>
      </c>
      <c r="F5" s="334" t="s">
        <v>292</v>
      </c>
      <c r="G5" s="334" t="s">
        <v>293</v>
      </c>
      <c r="H5" s="334" t="s">
        <v>294</v>
      </c>
      <c r="I5" s="334" t="s">
        <v>295</v>
      </c>
      <c r="J5" s="334" t="s">
        <v>296</v>
      </c>
      <c r="K5" s="334" t="s">
        <v>307</v>
      </c>
      <c r="L5" s="334" t="s">
        <v>308</v>
      </c>
      <c r="M5" s="334" t="s">
        <v>309</v>
      </c>
      <c r="N5" s="334" t="s">
        <v>310</v>
      </c>
      <c r="O5" s="335" t="s">
        <v>311</v>
      </c>
      <c r="P5" s="335" t="s">
        <v>312</v>
      </c>
      <c r="Q5" s="336" t="s">
        <v>313</v>
      </c>
    </row>
    <row r="6" spans="1:21" ht="15" thickBot="1">
      <c r="A6" s="5"/>
      <c r="B6" s="7" t="s">
        <v>176</v>
      </c>
      <c r="C6" s="7"/>
      <c r="D6" s="7"/>
      <c r="E6" s="7" t="s">
        <v>40</v>
      </c>
      <c r="F6" s="7" t="s">
        <v>40</v>
      </c>
      <c r="G6" s="7" t="s">
        <v>40</v>
      </c>
      <c r="H6" s="7" t="s">
        <v>40</v>
      </c>
      <c r="I6" s="7" t="s">
        <v>40</v>
      </c>
      <c r="J6" s="7" t="s">
        <v>40</v>
      </c>
      <c r="K6" s="7" t="s">
        <v>40</v>
      </c>
      <c r="L6" s="7" t="s">
        <v>40</v>
      </c>
      <c r="M6" s="7" t="s">
        <v>40</v>
      </c>
      <c r="N6" s="7" t="s">
        <v>40</v>
      </c>
      <c r="O6" s="7" t="s">
        <v>40</v>
      </c>
      <c r="P6" s="7" t="s">
        <v>40</v>
      </c>
      <c r="Q6" s="6" t="s">
        <v>40</v>
      </c>
    </row>
    <row r="7" spans="1:21" s="2" customFormat="1" ht="15" thickBot="1">
      <c r="A7" s="8" t="s">
        <v>1</v>
      </c>
      <c r="B7" s="21">
        <f t="shared" ref="B7:Q7" si="0">SUM(B8:B13)</f>
        <v>1493868.78</v>
      </c>
      <c r="C7" s="556"/>
      <c r="D7" s="556"/>
      <c r="E7" s="22">
        <f t="shared" si="0"/>
        <v>2078028.7692433905</v>
      </c>
      <c r="F7" s="20">
        <f t="shared" si="0"/>
        <v>173169.06410361585</v>
      </c>
      <c r="G7" s="20">
        <f t="shared" si="0"/>
        <v>173169.06410361585</v>
      </c>
      <c r="H7" s="20">
        <f t="shared" si="0"/>
        <v>173169.06410361585</v>
      </c>
      <c r="I7" s="20">
        <f t="shared" si="0"/>
        <v>173169.06410361585</v>
      </c>
      <c r="J7" s="20">
        <f t="shared" si="0"/>
        <v>173169.06410361585</v>
      </c>
      <c r="K7" s="20">
        <f t="shared" si="0"/>
        <v>173169.06410361585</v>
      </c>
      <c r="L7" s="20">
        <f t="shared" si="0"/>
        <v>173169.06410361585</v>
      </c>
      <c r="M7" s="20">
        <f t="shared" si="0"/>
        <v>173169.06410361585</v>
      </c>
      <c r="N7" s="20">
        <f t="shared" si="0"/>
        <v>173169.06410361585</v>
      </c>
      <c r="O7" s="20">
        <f t="shared" si="0"/>
        <v>173169.06410361585</v>
      </c>
      <c r="P7" s="20">
        <f t="shared" si="0"/>
        <v>173169.06410361585</v>
      </c>
      <c r="Q7" s="20">
        <f t="shared" si="0"/>
        <v>173169.06410361585</v>
      </c>
    </row>
    <row r="8" spans="1:21" ht="15" thickBot="1">
      <c r="A8" s="5" t="s">
        <v>24</v>
      </c>
      <c r="B8" s="502">
        <v>984072.14</v>
      </c>
      <c r="C8" s="557"/>
      <c r="D8" s="557"/>
      <c r="E8" s="661">
        <v>800000</v>
      </c>
      <c r="F8" s="504">
        <f>$E$8/12</f>
        <v>66666.666666666672</v>
      </c>
      <c r="G8" s="504">
        <f t="shared" ref="G8:Q8" si="1">$E$8/12</f>
        <v>66666.666666666672</v>
      </c>
      <c r="H8" s="504">
        <f t="shared" si="1"/>
        <v>66666.666666666672</v>
      </c>
      <c r="I8" s="504">
        <f t="shared" si="1"/>
        <v>66666.666666666672</v>
      </c>
      <c r="J8" s="504">
        <f t="shared" si="1"/>
        <v>66666.666666666672</v>
      </c>
      <c r="K8" s="504">
        <f t="shared" si="1"/>
        <v>66666.666666666672</v>
      </c>
      <c r="L8" s="504">
        <f t="shared" si="1"/>
        <v>66666.666666666672</v>
      </c>
      <c r="M8" s="504">
        <f t="shared" si="1"/>
        <v>66666.666666666672</v>
      </c>
      <c r="N8" s="504">
        <f t="shared" si="1"/>
        <v>66666.666666666672</v>
      </c>
      <c r="O8" s="504">
        <f t="shared" si="1"/>
        <v>66666.666666666672</v>
      </c>
      <c r="P8" s="504">
        <f t="shared" si="1"/>
        <v>66666.666666666672</v>
      </c>
      <c r="Q8" s="504">
        <f t="shared" si="1"/>
        <v>66666.666666666672</v>
      </c>
      <c r="R8" s="1">
        <v>1</v>
      </c>
      <c r="S8" s="118" t="s">
        <v>289</v>
      </c>
      <c r="U8" s="463"/>
    </row>
    <row r="9" spans="1:21" ht="15" thickBot="1">
      <c r="A9" s="5" t="s">
        <v>3</v>
      </c>
      <c r="B9" s="505">
        <v>18228.14</v>
      </c>
      <c r="C9" s="558"/>
      <c r="D9" s="558"/>
      <c r="E9" s="661">
        <f>'Reconcilliation Sheet'!I39*12</f>
        <v>13837.410427477147</v>
      </c>
      <c r="F9" s="504">
        <f>$E9/12</f>
        <v>1153.1175356230956</v>
      </c>
      <c r="G9" s="504">
        <f t="shared" ref="G9:Q13" si="2">$E9/12</f>
        <v>1153.1175356230956</v>
      </c>
      <c r="H9" s="504">
        <f t="shared" si="2"/>
        <v>1153.1175356230956</v>
      </c>
      <c r="I9" s="504">
        <f t="shared" si="2"/>
        <v>1153.1175356230956</v>
      </c>
      <c r="J9" s="504">
        <f t="shared" si="2"/>
        <v>1153.1175356230956</v>
      </c>
      <c r="K9" s="504">
        <f t="shared" si="2"/>
        <v>1153.1175356230956</v>
      </c>
      <c r="L9" s="504">
        <f t="shared" si="2"/>
        <v>1153.1175356230956</v>
      </c>
      <c r="M9" s="504">
        <f t="shared" si="2"/>
        <v>1153.1175356230956</v>
      </c>
      <c r="N9" s="504">
        <f t="shared" si="2"/>
        <v>1153.1175356230956</v>
      </c>
      <c r="O9" s="504">
        <f t="shared" si="2"/>
        <v>1153.1175356230956</v>
      </c>
      <c r="P9" s="504">
        <f t="shared" si="2"/>
        <v>1153.1175356230956</v>
      </c>
      <c r="Q9" s="504">
        <f t="shared" si="2"/>
        <v>1153.1175356230956</v>
      </c>
      <c r="R9" s="1">
        <v>2</v>
      </c>
      <c r="S9" s="118" t="s">
        <v>289</v>
      </c>
    </row>
    <row r="10" spans="1:21" ht="15" thickBot="1">
      <c r="A10" s="5" t="s">
        <v>274</v>
      </c>
      <c r="B10" s="505">
        <v>14252.44</v>
      </c>
      <c r="C10" s="558"/>
      <c r="D10" s="558"/>
      <c r="E10" s="661">
        <f>'Reconcilliation Sheet'!K39*12</f>
        <v>17087.004000000001</v>
      </c>
      <c r="F10" s="504">
        <f t="shared" ref="F10:F13" si="3">$E10/12</f>
        <v>1423.9170000000001</v>
      </c>
      <c r="G10" s="504">
        <f t="shared" si="2"/>
        <v>1423.9170000000001</v>
      </c>
      <c r="H10" s="504">
        <f t="shared" si="2"/>
        <v>1423.9170000000001</v>
      </c>
      <c r="I10" s="504">
        <f t="shared" si="2"/>
        <v>1423.9170000000001</v>
      </c>
      <c r="J10" s="504">
        <f t="shared" si="2"/>
        <v>1423.9170000000001</v>
      </c>
      <c r="K10" s="504">
        <f t="shared" si="2"/>
        <v>1423.9170000000001</v>
      </c>
      <c r="L10" s="504">
        <f t="shared" si="2"/>
        <v>1423.9170000000001</v>
      </c>
      <c r="M10" s="504">
        <f t="shared" si="2"/>
        <v>1423.9170000000001</v>
      </c>
      <c r="N10" s="504">
        <f t="shared" si="2"/>
        <v>1423.9170000000001</v>
      </c>
      <c r="O10" s="504">
        <f t="shared" si="2"/>
        <v>1423.9170000000001</v>
      </c>
      <c r="P10" s="504">
        <f t="shared" si="2"/>
        <v>1423.9170000000001</v>
      </c>
      <c r="Q10" s="504">
        <f t="shared" si="2"/>
        <v>1423.9170000000001</v>
      </c>
      <c r="R10" s="1">
        <v>3</v>
      </c>
      <c r="S10" s="118" t="s">
        <v>289</v>
      </c>
    </row>
    <row r="11" spans="1:21" ht="15.75" customHeight="1" thickBot="1">
      <c r="A11" s="5" t="s">
        <v>25</v>
      </c>
      <c r="B11" s="505">
        <v>437281.78</v>
      </c>
      <c r="C11" s="558"/>
      <c r="D11" s="558"/>
      <c r="E11" s="661">
        <f>SUM(F11:Q11)</f>
        <v>477130.92000000016</v>
      </c>
      <c r="F11" s="504">
        <v>39760.910000000003</v>
      </c>
      <c r="G11" s="504">
        <v>39760.910000000003</v>
      </c>
      <c r="H11" s="504">
        <v>39760.910000000003</v>
      </c>
      <c r="I11" s="504">
        <v>39760.910000000003</v>
      </c>
      <c r="J11" s="504">
        <v>39760.910000000003</v>
      </c>
      <c r="K11" s="504">
        <v>39760.910000000003</v>
      </c>
      <c r="L11" s="504">
        <v>39760.910000000003</v>
      </c>
      <c r="M11" s="504">
        <v>39760.910000000003</v>
      </c>
      <c r="N11" s="504">
        <v>39760.910000000003</v>
      </c>
      <c r="O11" s="504">
        <v>39760.910000000003</v>
      </c>
      <c r="P11" s="504">
        <v>39760.910000000003</v>
      </c>
      <c r="Q11" s="504">
        <v>39760.910000000003</v>
      </c>
      <c r="R11" s="1">
        <v>4</v>
      </c>
      <c r="S11" s="118" t="s">
        <v>289</v>
      </c>
    </row>
    <row r="12" spans="1:21" ht="15.75" customHeight="1" thickBot="1">
      <c r="A12" s="5" t="s">
        <v>290</v>
      </c>
      <c r="B12" s="18" t="s">
        <v>291</v>
      </c>
      <c r="C12" s="559"/>
      <c r="D12" s="559"/>
      <c r="E12" s="661">
        <f>E54</f>
        <v>738938.1</v>
      </c>
      <c r="F12" s="504">
        <f>$E$12/12</f>
        <v>61578.174999999996</v>
      </c>
      <c r="G12" s="504">
        <f t="shared" ref="G12:Q12" si="4">$E$12/12</f>
        <v>61578.174999999996</v>
      </c>
      <c r="H12" s="504">
        <f t="shared" si="4"/>
        <v>61578.174999999996</v>
      </c>
      <c r="I12" s="504">
        <f t="shared" si="4"/>
        <v>61578.174999999996</v>
      </c>
      <c r="J12" s="504">
        <f t="shared" si="4"/>
        <v>61578.174999999996</v>
      </c>
      <c r="K12" s="504">
        <f t="shared" si="4"/>
        <v>61578.174999999996</v>
      </c>
      <c r="L12" s="504">
        <f t="shared" si="4"/>
        <v>61578.174999999996</v>
      </c>
      <c r="M12" s="504">
        <f t="shared" si="4"/>
        <v>61578.174999999996</v>
      </c>
      <c r="N12" s="504">
        <f t="shared" si="4"/>
        <v>61578.174999999996</v>
      </c>
      <c r="O12" s="504">
        <f t="shared" si="4"/>
        <v>61578.174999999996</v>
      </c>
      <c r="P12" s="504">
        <f t="shared" si="4"/>
        <v>61578.174999999996</v>
      </c>
      <c r="Q12" s="504">
        <f t="shared" si="4"/>
        <v>61578.174999999996</v>
      </c>
      <c r="R12" s="1">
        <v>5</v>
      </c>
      <c r="S12" s="118" t="s">
        <v>289</v>
      </c>
    </row>
    <row r="13" spans="1:21" ht="15" thickBot="1">
      <c r="A13" s="5" t="s">
        <v>2</v>
      </c>
      <c r="B13" s="506">
        <v>40034.28</v>
      </c>
      <c r="C13" s="560"/>
      <c r="D13" s="560"/>
      <c r="E13" s="661">
        <f>'Reconcilliation Sheet'!E41*12</f>
        <v>31035.334815913026</v>
      </c>
      <c r="F13" s="504">
        <f t="shared" si="3"/>
        <v>2586.2779013260856</v>
      </c>
      <c r="G13" s="504">
        <f t="shared" si="2"/>
        <v>2586.2779013260856</v>
      </c>
      <c r="H13" s="504">
        <f t="shared" si="2"/>
        <v>2586.2779013260856</v>
      </c>
      <c r="I13" s="504">
        <f t="shared" si="2"/>
        <v>2586.2779013260856</v>
      </c>
      <c r="J13" s="504">
        <f t="shared" si="2"/>
        <v>2586.2779013260856</v>
      </c>
      <c r="K13" s="504">
        <f t="shared" si="2"/>
        <v>2586.2779013260856</v>
      </c>
      <c r="L13" s="504">
        <f t="shared" si="2"/>
        <v>2586.2779013260856</v>
      </c>
      <c r="M13" s="504">
        <f t="shared" si="2"/>
        <v>2586.2779013260856</v>
      </c>
      <c r="N13" s="504">
        <f t="shared" si="2"/>
        <v>2586.2779013260856</v>
      </c>
      <c r="O13" s="504">
        <f t="shared" si="2"/>
        <v>2586.2779013260856</v>
      </c>
      <c r="P13" s="504">
        <f t="shared" si="2"/>
        <v>2586.2779013260856</v>
      </c>
      <c r="Q13" s="504">
        <f t="shared" si="2"/>
        <v>2586.2779013260856</v>
      </c>
      <c r="R13" s="1">
        <v>6</v>
      </c>
      <c r="S13" s="118" t="s">
        <v>289</v>
      </c>
    </row>
    <row r="14" spans="1:21" s="2" customFormat="1" ht="15" thickBot="1">
      <c r="A14" s="8" t="s">
        <v>31</v>
      </c>
      <c r="B14" s="507">
        <f>SUM(B15:B17)</f>
        <v>22560</v>
      </c>
      <c r="C14" s="561"/>
      <c r="D14" s="561"/>
      <c r="E14" s="508">
        <f>E15+E16+E17</f>
        <v>59027.660887768718</v>
      </c>
      <c r="F14" s="509">
        <f t="shared" ref="F14:Q14" si="5">SUM(F15:F17)</f>
        <v>4918.9717406473937</v>
      </c>
      <c r="G14" s="510">
        <f t="shared" si="5"/>
        <v>4918.9717406473937</v>
      </c>
      <c r="H14" s="510">
        <f t="shared" si="5"/>
        <v>4918.9717406473937</v>
      </c>
      <c r="I14" s="510">
        <f t="shared" si="5"/>
        <v>4918.9717406473937</v>
      </c>
      <c r="J14" s="510">
        <f t="shared" si="5"/>
        <v>4918.9717406473937</v>
      </c>
      <c r="K14" s="510">
        <f t="shared" si="5"/>
        <v>4918.9717406473937</v>
      </c>
      <c r="L14" s="509">
        <f t="shared" si="5"/>
        <v>4918.9717406473937</v>
      </c>
      <c r="M14" s="510">
        <f t="shared" si="5"/>
        <v>4918.9717406473937</v>
      </c>
      <c r="N14" s="510">
        <f t="shared" si="5"/>
        <v>4918.9717406473937</v>
      </c>
      <c r="O14" s="510">
        <f t="shared" si="5"/>
        <v>4918.9717406473937</v>
      </c>
      <c r="P14" s="510">
        <f t="shared" si="5"/>
        <v>4918.9717406473937</v>
      </c>
      <c r="Q14" s="510">
        <f t="shared" si="5"/>
        <v>4918.9717406473937</v>
      </c>
    </row>
    <row r="15" spans="1:21">
      <c r="A15" s="5" t="s">
        <v>26</v>
      </c>
      <c r="B15" s="502">
        <v>15600</v>
      </c>
      <c r="C15" s="557" t="s">
        <v>342</v>
      </c>
      <c r="D15" s="557"/>
      <c r="E15" s="503">
        <f>'Levy Budget 2020'!AF42*12</f>
        <v>16067.660887768719</v>
      </c>
      <c r="F15" s="511">
        <f>$E15/12</f>
        <v>1338.9717406473933</v>
      </c>
      <c r="G15" s="511">
        <f t="shared" ref="G15:Q15" si="6">$E15/12</f>
        <v>1338.9717406473933</v>
      </c>
      <c r="H15" s="511">
        <f t="shared" si="6"/>
        <v>1338.9717406473933</v>
      </c>
      <c r="I15" s="511">
        <f t="shared" si="6"/>
        <v>1338.9717406473933</v>
      </c>
      <c r="J15" s="511">
        <f t="shared" si="6"/>
        <v>1338.9717406473933</v>
      </c>
      <c r="K15" s="511">
        <f t="shared" si="6"/>
        <v>1338.9717406473933</v>
      </c>
      <c r="L15" s="511">
        <f t="shared" si="6"/>
        <v>1338.9717406473933</v>
      </c>
      <c r="M15" s="511">
        <f t="shared" si="6"/>
        <v>1338.9717406473933</v>
      </c>
      <c r="N15" s="511">
        <f t="shared" si="6"/>
        <v>1338.9717406473933</v>
      </c>
      <c r="O15" s="511">
        <f t="shared" si="6"/>
        <v>1338.9717406473933</v>
      </c>
      <c r="P15" s="511">
        <f t="shared" si="6"/>
        <v>1338.9717406473933</v>
      </c>
      <c r="Q15" s="511">
        <f t="shared" si="6"/>
        <v>1338.9717406473933</v>
      </c>
      <c r="R15" s="1">
        <v>7</v>
      </c>
      <c r="S15" s="118" t="s">
        <v>289</v>
      </c>
    </row>
    <row r="16" spans="1:21">
      <c r="A16" s="5" t="s">
        <v>6</v>
      </c>
      <c r="B16" s="505">
        <v>6000</v>
      </c>
      <c r="C16" s="526" t="s">
        <v>342</v>
      </c>
      <c r="D16" s="526"/>
      <c r="E16" s="512">
        <f>3500*12</f>
        <v>42000</v>
      </c>
      <c r="F16" s="513">
        <f>$E16/12</f>
        <v>3500</v>
      </c>
      <c r="G16" s="513">
        <f t="shared" ref="G16:Q16" si="7">$E16/12</f>
        <v>3500</v>
      </c>
      <c r="H16" s="513">
        <f t="shared" si="7"/>
        <v>3500</v>
      </c>
      <c r="I16" s="513">
        <f t="shared" si="7"/>
        <v>3500</v>
      </c>
      <c r="J16" s="513">
        <f t="shared" si="7"/>
        <v>3500</v>
      </c>
      <c r="K16" s="513">
        <f t="shared" si="7"/>
        <v>3500</v>
      </c>
      <c r="L16" s="513">
        <f t="shared" si="7"/>
        <v>3500</v>
      </c>
      <c r="M16" s="513">
        <f t="shared" si="7"/>
        <v>3500</v>
      </c>
      <c r="N16" s="513">
        <f t="shared" si="7"/>
        <v>3500</v>
      </c>
      <c r="O16" s="513">
        <f t="shared" si="7"/>
        <v>3500</v>
      </c>
      <c r="P16" s="513">
        <f t="shared" si="7"/>
        <v>3500</v>
      </c>
      <c r="Q16" s="513">
        <f t="shared" si="7"/>
        <v>3500</v>
      </c>
    </row>
    <row r="17" spans="1:21" ht="15" thickBot="1">
      <c r="A17" s="5" t="s">
        <v>5</v>
      </c>
      <c r="B17" s="506">
        <v>960</v>
      </c>
      <c r="C17" s="562" t="s">
        <v>342</v>
      </c>
      <c r="D17" s="562"/>
      <c r="E17" s="514">
        <f>80*12</f>
        <v>960</v>
      </c>
      <c r="F17" s="514">
        <f>$E17/12</f>
        <v>80</v>
      </c>
      <c r="G17" s="514">
        <f t="shared" ref="G17:Q17" si="8">$E17/12</f>
        <v>80</v>
      </c>
      <c r="H17" s="514">
        <f t="shared" si="8"/>
        <v>80</v>
      </c>
      <c r="I17" s="514">
        <f t="shared" si="8"/>
        <v>80</v>
      </c>
      <c r="J17" s="514">
        <f t="shared" si="8"/>
        <v>80</v>
      </c>
      <c r="K17" s="514">
        <f t="shared" si="8"/>
        <v>80</v>
      </c>
      <c r="L17" s="514">
        <f t="shared" si="8"/>
        <v>80</v>
      </c>
      <c r="M17" s="514">
        <f t="shared" si="8"/>
        <v>80</v>
      </c>
      <c r="N17" s="514">
        <f t="shared" si="8"/>
        <v>80</v>
      </c>
      <c r="O17" s="514">
        <f t="shared" si="8"/>
        <v>80</v>
      </c>
      <c r="P17" s="514">
        <f t="shared" si="8"/>
        <v>80</v>
      </c>
      <c r="Q17" s="514">
        <f t="shared" si="8"/>
        <v>80</v>
      </c>
    </row>
    <row r="18" spans="1:21" ht="15" thickBot="1">
      <c r="B18" s="515"/>
      <c r="C18" s="563"/>
      <c r="D18" s="563"/>
      <c r="E18" s="515"/>
      <c r="F18" s="515"/>
      <c r="G18" s="515"/>
      <c r="H18" s="515"/>
      <c r="I18" s="515"/>
      <c r="J18" s="515"/>
      <c r="K18" s="515"/>
      <c r="L18" s="515"/>
      <c r="M18" s="515"/>
      <c r="N18" s="516"/>
      <c r="O18" s="516"/>
      <c r="P18" s="516"/>
      <c r="Q18" s="516"/>
    </row>
    <row r="19" spans="1:21" ht="15" thickBot="1">
      <c r="A19" s="5" t="s">
        <v>4</v>
      </c>
      <c r="B19" s="517">
        <v>28750</v>
      </c>
      <c r="C19" s="590" t="s">
        <v>342</v>
      </c>
      <c r="D19" s="564"/>
      <c r="E19" s="517">
        <f>3250*12</f>
        <v>39000</v>
      </c>
      <c r="F19" s="518">
        <f>$E$19/12</f>
        <v>3250</v>
      </c>
      <c r="G19" s="518">
        <f t="shared" ref="G19:Q19" si="9">$E$19/12</f>
        <v>3250</v>
      </c>
      <c r="H19" s="518">
        <f t="shared" si="9"/>
        <v>3250</v>
      </c>
      <c r="I19" s="518">
        <f t="shared" si="9"/>
        <v>3250</v>
      </c>
      <c r="J19" s="518">
        <f t="shared" si="9"/>
        <v>3250</v>
      </c>
      <c r="K19" s="518">
        <f t="shared" si="9"/>
        <v>3250</v>
      </c>
      <c r="L19" s="518">
        <f t="shared" si="9"/>
        <v>3250</v>
      </c>
      <c r="M19" s="518">
        <f t="shared" si="9"/>
        <v>3250</v>
      </c>
      <c r="N19" s="518">
        <f t="shared" si="9"/>
        <v>3250</v>
      </c>
      <c r="O19" s="518">
        <f t="shared" si="9"/>
        <v>3250</v>
      </c>
      <c r="P19" s="518">
        <f t="shared" si="9"/>
        <v>3250</v>
      </c>
      <c r="Q19" s="518">
        <f t="shared" si="9"/>
        <v>3250</v>
      </c>
      <c r="S19" s="462"/>
    </row>
    <row r="20" spans="1:21">
      <c r="A20" s="5"/>
      <c r="B20" s="9"/>
      <c r="C20" s="565"/>
      <c r="D20" s="565"/>
      <c r="E20" s="9"/>
      <c r="F20" s="9"/>
      <c r="G20" s="9"/>
      <c r="H20" s="9"/>
      <c r="I20" s="9"/>
      <c r="J20" s="9"/>
      <c r="K20" s="9"/>
      <c r="L20" s="9"/>
      <c r="M20" s="9"/>
      <c r="N20" s="338"/>
      <c r="O20" s="338"/>
      <c r="P20" s="338"/>
      <c r="Q20" s="338"/>
    </row>
    <row r="21" spans="1:21" s="4" customFormat="1" ht="15" thickBot="1">
      <c r="A21" s="12" t="s">
        <v>28</v>
      </c>
      <c r="B21" s="24">
        <f t="shared" ref="B21:Q21" si="10">B7+B14+B19</f>
        <v>1545178.78</v>
      </c>
      <c r="C21" s="566"/>
      <c r="D21" s="566"/>
      <c r="E21" s="24">
        <f t="shared" si="10"/>
        <v>2176056.4301311593</v>
      </c>
      <c r="F21" s="24">
        <f t="shared" si="10"/>
        <v>181338.03584426324</v>
      </c>
      <c r="G21" s="24">
        <f t="shared" si="10"/>
        <v>181338.03584426324</v>
      </c>
      <c r="H21" s="24">
        <f t="shared" si="10"/>
        <v>181338.03584426324</v>
      </c>
      <c r="I21" s="24">
        <f t="shared" si="10"/>
        <v>181338.03584426324</v>
      </c>
      <c r="J21" s="24">
        <f t="shared" si="10"/>
        <v>181338.03584426324</v>
      </c>
      <c r="K21" s="24">
        <f t="shared" si="10"/>
        <v>181338.03584426324</v>
      </c>
      <c r="L21" s="24">
        <f t="shared" si="10"/>
        <v>181338.03584426324</v>
      </c>
      <c r="M21" s="24">
        <f t="shared" si="10"/>
        <v>181338.03584426324</v>
      </c>
      <c r="N21" s="24">
        <f t="shared" si="10"/>
        <v>181338.03584426324</v>
      </c>
      <c r="O21" s="24">
        <f t="shared" si="10"/>
        <v>181338.03584426324</v>
      </c>
      <c r="P21" s="24">
        <f t="shared" si="10"/>
        <v>181338.03584426324</v>
      </c>
      <c r="Q21" s="24">
        <f t="shared" si="10"/>
        <v>181338.03584426324</v>
      </c>
      <c r="S21" s="493"/>
      <c r="T21" s="493"/>
      <c r="U21" s="493"/>
    </row>
    <row r="22" spans="1:21" s="4" customFormat="1" ht="15" thickBot="1">
      <c r="A22" s="12"/>
      <c r="B22" s="13"/>
      <c r="C22" s="567"/>
      <c r="D22" s="567"/>
      <c r="E22" s="13"/>
      <c r="F22" s="13"/>
      <c r="G22" s="13"/>
      <c r="H22" s="13"/>
      <c r="I22" s="13"/>
      <c r="J22" s="13"/>
      <c r="K22" s="13"/>
      <c r="L22" s="13"/>
      <c r="M22" s="13"/>
      <c r="N22" s="339"/>
      <c r="O22" s="339"/>
      <c r="P22" s="339"/>
      <c r="Q22" s="339"/>
      <c r="S22" s="493"/>
    </row>
    <row r="23" spans="1:21" ht="15" thickBot="1">
      <c r="A23" s="8" t="s">
        <v>29</v>
      </c>
      <c r="B23" s="23">
        <f t="shared" ref="B23:Q23" si="11">SUM(B24:B38)</f>
        <v>752633.08000000007</v>
      </c>
      <c r="C23" s="568"/>
      <c r="D23" s="568"/>
      <c r="E23" s="20">
        <f t="shared" si="11"/>
        <v>829961.93200000003</v>
      </c>
      <c r="F23" s="487">
        <f t="shared" si="11"/>
        <v>69163.494333333336</v>
      </c>
      <c r="G23" s="487">
        <f t="shared" si="11"/>
        <v>69163.494333333336</v>
      </c>
      <c r="H23" s="487">
        <f t="shared" si="11"/>
        <v>69163.494333333336</v>
      </c>
      <c r="I23" s="487">
        <f t="shared" si="11"/>
        <v>69163.494333333336</v>
      </c>
      <c r="J23" s="487">
        <f t="shared" si="11"/>
        <v>69163.494333333336</v>
      </c>
      <c r="K23" s="487">
        <f t="shared" si="11"/>
        <v>69163.494333333336</v>
      </c>
      <c r="L23" s="487">
        <f t="shared" si="11"/>
        <v>69163.494333333336</v>
      </c>
      <c r="M23" s="487">
        <f t="shared" si="11"/>
        <v>69163.494333333336</v>
      </c>
      <c r="N23" s="487">
        <f t="shared" si="11"/>
        <v>69163.494333333336</v>
      </c>
      <c r="O23" s="487">
        <f t="shared" si="11"/>
        <v>69163.494333333336</v>
      </c>
      <c r="P23" s="487">
        <f t="shared" si="11"/>
        <v>69163.494333333336</v>
      </c>
      <c r="Q23" s="488">
        <f t="shared" si="11"/>
        <v>69163.494333333336</v>
      </c>
    </row>
    <row r="24" spans="1:21">
      <c r="A24" s="5" t="s">
        <v>7</v>
      </c>
      <c r="B24" s="484">
        <v>5040</v>
      </c>
      <c r="C24" s="569" t="s">
        <v>342</v>
      </c>
      <c r="D24" s="569"/>
      <c r="E24" s="482">
        <f>B24*1.1</f>
        <v>5544</v>
      </c>
      <c r="F24" s="337">
        <f t="shared" ref="F24:Q36" si="12">$E24/12</f>
        <v>462</v>
      </c>
      <c r="G24" s="337">
        <f t="shared" si="12"/>
        <v>462</v>
      </c>
      <c r="H24" s="337">
        <f t="shared" si="12"/>
        <v>462</v>
      </c>
      <c r="I24" s="337">
        <f t="shared" si="12"/>
        <v>462</v>
      </c>
      <c r="J24" s="337">
        <f t="shared" si="12"/>
        <v>462</v>
      </c>
      <c r="K24" s="337">
        <f t="shared" si="12"/>
        <v>462</v>
      </c>
      <c r="L24" s="337">
        <f t="shared" si="12"/>
        <v>462</v>
      </c>
      <c r="M24" s="337">
        <f t="shared" si="12"/>
        <v>462</v>
      </c>
      <c r="N24" s="337">
        <f t="shared" si="12"/>
        <v>462</v>
      </c>
      <c r="O24" s="337">
        <f t="shared" si="12"/>
        <v>462</v>
      </c>
      <c r="P24" s="337">
        <f t="shared" si="12"/>
        <v>462</v>
      </c>
      <c r="Q24" s="337">
        <f t="shared" si="12"/>
        <v>462</v>
      </c>
      <c r="S24" s="463"/>
      <c r="T24" s="463"/>
      <c r="U24" s="520"/>
    </row>
    <row r="25" spans="1:21">
      <c r="A25" s="5" t="s">
        <v>41</v>
      </c>
      <c r="B25" s="18">
        <v>9680</v>
      </c>
      <c r="C25" s="570" t="s">
        <v>342</v>
      </c>
      <c r="D25" s="570"/>
      <c r="E25" s="14">
        <f>B25*1.1</f>
        <v>10648</v>
      </c>
      <c r="F25" s="337">
        <f t="shared" si="12"/>
        <v>887.33333333333337</v>
      </c>
      <c r="G25" s="337">
        <f t="shared" si="12"/>
        <v>887.33333333333337</v>
      </c>
      <c r="H25" s="337">
        <f t="shared" si="12"/>
        <v>887.33333333333337</v>
      </c>
      <c r="I25" s="337">
        <f t="shared" si="12"/>
        <v>887.33333333333337</v>
      </c>
      <c r="J25" s="337">
        <f t="shared" si="12"/>
        <v>887.33333333333337</v>
      </c>
      <c r="K25" s="337">
        <f t="shared" si="12"/>
        <v>887.33333333333337</v>
      </c>
      <c r="L25" s="337">
        <f t="shared" si="12"/>
        <v>887.33333333333337</v>
      </c>
      <c r="M25" s="337">
        <f t="shared" si="12"/>
        <v>887.33333333333337</v>
      </c>
      <c r="N25" s="337">
        <f t="shared" si="12"/>
        <v>887.33333333333337</v>
      </c>
      <c r="O25" s="337">
        <f t="shared" si="12"/>
        <v>887.33333333333337</v>
      </c>
      <c r="P25" s="337">
        <f t="shared" si="12"/>
        <v>887.33333333333337</v>
      </c>
      <c r="Q25" s="337">
        <f t="shared" si="12"/>
        <v>887.33333333333337</v>
      </c>
      <c r="S25" s="463"/>
      <c r="T25" s="463"/>
    </row>
    <row r="26" spans="1:21">
      <c r="A26" s="5" t="s">
        <v>8</v>
      </c>
      <c r="B26" s="18">
        <v>12600</v>
      </c>
      <c r="C26" s="570" t="s">
        <v>342</v>
      </c>
      <c r="D26" s="570"/>
      <c r="E26" s="14">
        <f>B26</f>
        <v>12600</v>
      </c>
      <c r="F26" s="337">
        <f t="shared" si="12"/>
        <v>1050</v>
      </c>
      <c r="G26" s="337">
        <f t="shared" si="12"/>
        <v>1050</v>
      </c>
      <c r="H26" s="337">
        <f t="shared" si="12"/>
        <v>1050</v>
      </c>
      <c r="I26" s="337">
        <f t="shared" si="12"/>
        <v>1050</v>
      </c>
      <c r="J26" s="337">
        <f t="shared" si="12"/>
        <v>1050</v>
      </c>
      <c r="K26" s="337">
        <f t="shared" si="12"/>
        <v>1050</v>
      </c>
      <c r="L26" s="337">
        <f t="shared" si="12"/>
        <v>1050</v>
      </c>
      <c r="M26" s="337">
        <f t="shared" si="12"/>
        <v>1050</v>
      </c>
      <c r="N26" s="337">
        <f t="shared" si="12"/>
        <v>1050</v>
      </c>
      <c r="O26" s="337">
        <f t="shared" si="12"/>
        <v>1050</v>
      </c>
      <c r="P26" s="337">
        <f t="shared" si="12"/>
        <v>1050</v>
      </c>
      <c r="Q26" s="337">
        <f t="shared" si="12"/>
        <v>1050</v>
      </c>
      <c r="S26" s="463"/>
      <c r="T26" s="463"/>
      <c r="U26" s="520"/>
    </row>
    <row r="27" spans="1:21">
      <c r="A27" s="5" t="s">
        <v>317</v>
      </c>
      <c r="B27" s="18">
        <v>15600</v>
      </c>
      <c r="C27" s="570" t="s">
        <v>342</v>
      </c>
      <c r="D27" s="570"/>
      <c r="E27" s="14">
        <f>1353.81*12</f>
        <v>16245.72</v>
      </c>
      <c r="F27" s="337">
        <f t="shared" si="12"/>
        <v>1353.81</v>
      </c>
      <c r="G27" s="337">
        <f t="shared" si="12"/>
        <v>1353.81</v>
      </c>
      <c r="H27" s="337">
        <f t="shared" si="12"/>
        <v>1353.81</v>
      </c>
      <c r="I27" s="337">
        <f t="shared" si="12"/>
        <v>1353.81</v>
      </c>
      <c r="J27" s="337">
        <f t="shared" si="12"/>
        <v>1353.81</v>
      </c>
      <c r="K27" s="337">
        <f t="shared" si="12"/>
        <v>1353.81</v>
      </c>
      <c r="L27" s="337">
        <f t="shared" si="12"/>
        <v>1353.81</v>
      </c>
      <c r="M27" s="337">
        <f t="shared" si="12"/>
        <v>1353.81</v>
      </c>
      <c r="N27" s="337">
        <f t="shared" si="12"/>
        <v>1353.81</v>
      </c>
      <c r="O27" s="337">
        <f t="shared" si="12"/>
        <v>1353.81</v>
      </c>
      <c r="P27" s="337">
        <f t="shared" si="12"/>
        <v>1353.81</v>
      </c>
      <c r="Q27" s="337">
        <f t="shared" si="12"/>
        <v>1353.81</v>
      </c>
      <c r="S27" s="118" t="s">
        <v>289</v>
      </c>
      <c r="T27" s="463"/>
    </row>
    <row r="28" spans="1:21">
      <c r="A28" s="5" t="s">
        <v>15</v>
      </c>
      <c r="B28" s="18">
        <v>118903.3</v>
      </c>
      <c r="C28" s="570" t="s">
        <v>342</v>
      </c>
      <c r="D28" s="570"/>
      <c r="E28" s="14">
        <f>11133.91*12*1.1</f>
        <v>146967.61199999999</v>
      </c>
      <c r="F28" s="337">
        <f t="shared" si="12"/>
        <v>12247.300999999999</v>
      </c>
      <c r="G28" s="337">
        <f t="shared" si="12"/>
        <v>12247.300999999999</v>
      </c>
      <c r="H28" s="337">
        <f t="shared" si="12"/>
        <v>12247.300999999999</v>
      </c>
      <c r="I28" s="337">
        <f t="shared" si="12"/>
        <v>12247.300999999999</v>
      </c>
      <c r="J28" s="337">
        <f t="shared" si="12"/>
        <v>12247.300999999999</v>
      </c>
      <c r="K28" s="337">
        <f t="shared" si="12"/>
        <v>12247.300999999999</v>
      </c>
      <c r="L28" s="337">
        <f t="shared" si="12"/>
        <v>12247.300999999999</v>
      </c>
      <c r="M28" s="337">
        <f t="shared" si="12"/>
        <v>12247.300999999999</v>
      </c>
      <c r="N28" s="337">
        <f t="shared" si="12"/>
        <v>12247.300999999999</v>
      </c>
      <c r="O28" s="337">
        <f t="shared" si="12"/>
        <v>12247.300999999999</v>
      </c>
      <c r="P28" s="337">
        <f t="shared" si="12"/>
        <v>12247.300999999999</v>
      </c>
      <c r="Q28" s="337">
        <f t="shared" si="12"/>
        <v>12247.300999999999</v>
      </c>
      <c r="S28" s="463"/>
      <c r="T28" s="463"/>
    </row>
    <row r="29" spans="1:21">
      <c r="A29" s="5" t="s">
        <v>42</v>
      </c>
      <c r="B29" s="468">
        <v>36000</v>
      </c>
      <c r="C29" s="571" t="s">
        <v>342</v>
      </c>
      <c r="D29" s="571"/>
      <c r="E29" s="469">
        <f>B29</f>
        <v>36000</v>
      </c>
      <c r="F29" s="337">
        <f t="shared" si="12"/>
        <v>3000</v>
      </c>
      <c r="G29" s="337">
        <f t="shared" si="12"/>
        <v>3000</v>
      </c>
      <c r="H29" s="337">
        <f t="shared" si="12"/>
        <v>3000</v>
      </c>
      <c r="I29" s="337">
        <f t="shared" si="12"/>
        <v>3000</v>
      </c>
      <c r="J29" s="337">
        <f t="shared" si="12"/>
        <v>3000</v>
      </c>
      <c r="K29" s="337">
        <f t="shared" si="12"/>
        <v>3000</v>
      </c>
      <c r="L29" s="337">
        <f t="shared" si="12"/>
        <v>3000</v>
      </c>
      <c r="M29" s="337">
        <f t="shared" si="12"/>
        <v>3000</v>
      </c>
      <c r="N29" s="337">
        <f t="shared" si="12"/>
        <v>3000</v>
      </c>
      <c r="O29" s="337">
        <f t="shared" si="12"/>
        <v>3000</v>
      </c>
      <c r="P29" s="337">
        <f t="shared" si="12"/>
        <v>3000</v>
      </c>
      <c r="Q29" s="337">
        <f t="shared" si="12"/>
        <v>3000</v>
      </c>
      <c r="S29" s="463"/>
      <c r="T29" s="463"/>
    </row>
    <row r="30" spans="1:21">
      <c r="A30" s="5" t="s">
        <v>16</v>
      </c>
      <c r="B30" s="467">
        <v>69828</v>
      </c>
      <c r="C30" s="572" t="s">
        <v>342</v>
      </c>
      <c r="D30" s="572"/>
      <c r="E30" s="337">
        <f>5607.4*12*1.1</f>
        <v>74017.679999999993</v>
      </c>
      <c r="F30" s="337">
        <f t="shared" si="12"/>
        <v>6168.1399999999994</v>
      </c>
      <c r="G30" s="337">
        <f t="shared" si="12"/>
        <v>6168.1399999999994</v>
      </c>
      <c r="H30" s="337">
        <f t="shared" si="12"/>
        <v>6168.1399999999994</v>
      </c>
      <c r="I30" s="337">
        <f t="shared" si="12"/>
        <v>6168.1399999999994</v>
      </c>
      <c r="J30" s="337">
        <f t="shared" si="12"/>
        <v>6168.1399999999994</v>
      </c>
      <c r="K30" s="337">
        <f t="shared" si="12"/>
        <v>6168.1399999999994</v>
      </c>
      <c r="L30" s="337">
        <f t="shared" si="12"/>
        <v>6168.1399999999994</v>
      </c>
      <c r="M30" s="337">
        <f t="shared" si="12"/>
        <v>6168.1399999999994</v>
      </c>
      <c r="N30" s="337">
        <f t="shared" si="12"/>
        <v>6168.1399999999994</v>
      </c>
      <c r="O30" s="337">
        <f t="shared" si="12"/>
        <v>6168.1399999999994</v>
      </c>
      <c r="P30" s="337">
        <f t="shared" si="12"/>
        <v>6168.1399999999994</v>
      </c>
      <c r="Q30" s="337">
        <f t="shared" si="12"/>
        <v>6168.1399999999994</v>
      </c>
      <c r="S30" s="463"/>
      <c r="T30" s="463"/>
    </row>
    <row r="31" spans="1:21">
      <c r="A31" s="5" t="s">
        <v>43</v>
      </c>
      <c r="B31" s="18">
        <v>8400</v>
      </c>
      <c r="C31" s="570" t="s">
        <v>342</v>
      </c>
      <c r="D31" s="570"/>
      <c r="E31" s="14">
        <f>B31*1.1</f>
        <v>9240</v>
      </c>
      <c r="F31" s="337">
        <f t="shared" si="12"/>
        <v>770</v>
      </c>
      <c r="G31" s="337">
        <f t="shared" si="12"/>
        <v>770</v>
      </c>
      <c r="H31" s="337">
        <f t="shared" si="12"/>
        <v>770</v>
      </c>
      <c r="I31" s="337">
        <f t="shared" si="12"/>
        <v>770</v>
      </c>
      <c r="J31" s="337">
        <f t="shared" si="12"/>
        <v>770</v>
      </c>
      <c r="K31" s="337">
        <f t="shared" si="12"/>
        <v>770</v>
      </c>
      <c r="L31" s="337">
        <f t="shared" si="12"/>
        <v>770</v>
      </c>
      <c r="M31" s="337">
        <f t="shared" si="12"/>
        <v>770</v>
      </c>
      <c r="N31" s="337">
        <f t="shared" si="12"/>
        <v>770</v>
      </c>
      <c r="O31" s="337">
        <f t="shared" si="12"/>
        <v>770</v>
      </c>
      <c r="P31" s="337">
        <f t="shared" si="12"/>
        <v>770</v>
      </c>
      <c r="Q31" s="337">
        <f t="shared" si="12"/>
        <v>770</v>
      </c>
      <c r="S31" s="463"/>
      <c r="T31" s="463"/>
    </row>
    <row r="32" spans="1:21">
      <c r="A32" s="5" t="s">
        <v>22</v>
      </c>
      <c r="B32" s="467">
        <v>6000</v>
      </c>
      <c r="C32" s="572" t="s">
        <v>342</v>
      </c>
      <c r="D32" s="572"/>
      <c r="E32" s="337">
        <v>6000</v>
      </c>
      <c r="F32" s="337">
        <f t="shared" si="12"/>
        <v>500</v>
      </c>
      <c r="G32" s="337">
        <f t="shared" si="12"/>
        <v>500</v>
      </c>
      <c r="H32" s="337">
        <f t="shared" si="12"/>
        <v>500</v>
      </c>
      <c r="I32" s="337">
        <f t="shared" si="12"/>
        <v>500</v>
      </c>
      <c r="J32" s="337">
        <f t="shared" si="12"/>
        <v>500</v>
      </c>
      <c r="K32" s="337">
        <f t="shared" si="12"/>
        <v>500</v>
      </c>
      <c r="L32" s="337">
        <f t="shared" si="12"/>
        <v>500</v>
      </c>
      <c r="M32" s="337">
        <f t="shared" si="12"/>
        <v>500</v>
      </c>
      <c r="N32" s="337">
        <f t="shared" si="12"/>
        <v>500</v>
      </c>
      <c r="O32" s="337">
        <f t="shared" si="12"/>
        <v>500</v>
      </c>
      <c r="P32" s="337">
        <f t="shared" si="12"/>
        <v>500</v>
      </c>
      <c r="Q32" s="337">
        <f t="shared" si="12"/>
        <v>500</v>
      </c>
      <c r="R32" s="3"/>
      <c r="S32" s="463"/>
      <c r="T32" s="463"/>
    </row>
    <row r="33" spans="1:21">
      <c r="A33" s="5" t="s">
        <v>275</v>
      </c>
      <c r="B33" s="18">
        <v>12000</v>
      </c>
      <c r="C33" s="570" t="s">
        <v>342</v>
      </c>
      <c r="D33" s="570"/>
      <c r="E33" s="14">
        <f>B33*1.1</f>
        <v>13200.000000000002</v>
      </c>
      <c r="F33" s="337">
        <f t="shared" si="12"/>
        <v>1100.0000000000002</v>
      </c>
      <c r="G33" s="337">
        <f t="shared" si="12"/>
        <v>1100.0000000000002</v>
      </c>
      <c r="H33" s="337">
        <f t="shared" si="12"/>
        <v>1100.0000000000002</v>
      </c>
      <c r="I33" s="337">
        <f t="shared" si="12"/>
        <v>1100.0000000000002</v>
      </c>
      <c r="J33" s="337">
        <f t="shared" si="12"/>
        <v>1100.0000000000002</v>
      </c>
      <c r="K33" s="337">
        <f t="shared" si="12"/>
        <v>1100.0000000000002</v>
      </c>
      <c r="L33" s="337">
        <f t="shared" si="12"/>
        <v>1100.0000000000002</v>
      </c>
      <c r="M33" s="337">
        <f t="shared" si="12"/>
        <v>1100.0000000000002</v>
      </c>
      <c r="N33" s="337">
        <f t="shared" si="12"/>
        <v>1100.0000000000002</v>
      </c>
      <c r="O33" s="337">
        <f t="shared" si="12"/>
        <v>1100.0000000000002</v>
      </c>
      <c r="P33" s="337">
        <f t="shared" si="12"/>
        <v>1100.0000000000002</v>
      </c>
      <c r="Q33" s="337">
        <f t="shared" si="12"/>
        <v>1100.0000000000002</v>
      </c>
      <c r="S33" s="463"/>
      <c r="T33" s="463"/>
    </row>
    <row r="34" spans="1:21">
      <c r="A34" s="5" t="s">
        <v>19</v>
      </c>
      <c r="B34" s="18">
        <v>3600</v>
      </c>
      <c r="C34" s="570" t="s">
        <v>342</v>
      </c>
      <c r="D34" s="570"/>
      <c r="E34" s="14">
        <f>B34*1.1</f>
        <v>3960.0000000000005</v>
      </c>
      <c r="F34" s="337">
        <f t="shared" si="12"/>
        <v>330.00000000000006</v>
      </c>
      <c r="G34" s="337">
        <f t="shared" si="12"/>
        <v>330.00000000000006</v>
      </c>
      <c r="H34" s="337">
        <f t="shared" si="12"/>
        <v>330.00000000000006</v>
      </c>
      <c r="I34" s="337">
        <f t="shared" si="12"/>
        <v>330.00000000000006</v>
      </c>
      <c r="J34" s="337">
        <f t="shared" si="12"/>
        <v>330.00000000000006</v>
      </c>
      <c r="K34" s="337">
        <f t="shared" si="12"/>
        <v>330.00000000000006</v>
      </c>
      <c r="L34" s="337">
        <f t="shared" si="12"/>
        <v>330.00000000000006</v>
      </c>
      <c r="M34" s="337">
        <f t="shared" si="12"/>
        <v>330.00000000000006</v>
      </c>
      <c r="N34" s="337">
        <f t="shared" si="12"/>
        <v>330.00000000000006</v>
      </c>
      <c r="O34" s="337">
        <f t="shared" si="12"/>
        <v>330.00000000000006</v>
      </c>
      <c r="P34" s="337">
        <f t="shared" si="12"/>
        <v>330.00000000000006</v>
      </c>
      <c r="Q34" s="337">
        <f t="shared" si="12"/>
        <v>330.00000000000006</v>
      </c>
      <c r="S34" s="463"/>
      <c r="T34" s="463"/>
    </row>
    <row r="35" spans="1:21">
      <c r="A35" s="5" t="s">
        <v>18</v>
      </c>
      <c r="B35" s="18">
        <v>900</v>
      </c>
      <c r="C35" s="570" t="s">
        <v>342</v>
      </c>
      <c r="D35" s="570"/>
      <c r="E35" s="14">
        <f>140*1.1*12</f>
        <v>1848</v>
      </c>
      <c r="F35" s="337">
        <f t="shared" si="12"/>
        <v>154</v>
      </c>
      <c r="G35" s="337">
        <f t="shared" si="12"/>
        <v>154</v>
      </c>
      <c r="H35" s="337">
        <f t="shared" si="12"/>
        <v>154</v>
      </c>
      <c r="I35" s="337">
        <f t="shared" si="12"/>
        <v>154</v>
      </c>
      <c r="J35" s="337">
        <f t="shared" si="12"/>
        <v>154</v>
      </c>
      <c r="K35" s="337">
        <f t="shared" si="12"/>
        <v>154</v>
      </c>
      <c r="L35" s="337">
        <f t="shared" si="12"/>
        <v>154</v>
      </c>
      <c r="M35" s="337">
        <f t="shared" si="12"/>
        <v>154</v>
      </c>
      <c r="N35" s="337">
        <f t="shared" si="12"/>
        <v>154</v>
      </c>
      <c r="O35" s="337">
        <f t="shared" si="12"/>
        <v>154</v>
      </c>
      <c r="P35" s="337">
        <f t="shared" si="12"/>
        <v>154</v>
      </c>
      <c r="Q35" s="337">
        <f t="shared" si="12"/>
        <v>154</v>
      </c>
      <c r="S35" s="463"/>
      <c r="T35" s="463"/>
    </row>
    <row r="36" spans="1:21">
      <c r="A36" s="5" t="s">
        <v>20</v>
      </c>
      <c r="B36" s="468">
        <v>14400</v>
      </c>
      <c r="C36" s="571" t="s">
        <v>342</v>
      </c>
      <c r="D36" s="571"/>
      <c r="E36" s="469">
        <f>B36*1.1</f>
        <v>15840.000000000002</v>
      </c>
      <c r="F36" s="337">
        <f t="shared" si="12"/>
        <v>1320.0000000000002</v>
      </c>
      <c r="G36" s="337">
        <f t="shared" si="12"/>
        <v>1320.0000000000002</v>
      </c>
      <c r="H36" s="337">
        <f t="shared" si="12"/>
        <v>1320.0000000000002</v>
      </c>
      <c r="I36" s="337">
        <f t="shared" si="12"/>
        <v>1320.0000000000002</v>
      </c>
      <c r="J36" s="337">
        <f t="shared" si="12"/>
        <v>1320.0000000000002</v>
      </c>
      <c r="K36" s="337">
        <f t="shared" si="12"/>
        <v>1320.0000000000002</v>
      </c>
      <c r="L36" s="337">
        <f t="shared" si="12"/>
        <v>1320.0000000000002</v>
      </c>
      <c r="M36" s="337">
        <f t="shared" si="12"/>
        <v>1320.0000000000002</v>
      </c>
      <c r="N36" s="337">
        <f t="shared" si="12"/>
        <v>1320.0000000000002</v>
      </c>
      <c r="O36" s="337">
        <f t="shared" si="12"/>
        <v>1320.0000000000002</v>
      </c>
      <c r="P36" s="337">
        <f t="shared" si="12"/>
        <v>1320.0000000000002</v>
      </c>
      <c r="Q36" s="337">
        <f t="shared" si="12"/>
        <v>1320.0000000000002</v>
      </c>
      <c r="S36" s="463"/>
      <c r="T36" s="463"/>
      <c r="U36" s="520"/>
    </row>
    <row r="37" spans="1:21">
      <c r="A37" s="5" t="s">
        <v>9</v>
      </c>
      <c r="B37" s="18">
        <v>437281.78</v>
      </c>
      <c r="C37" s="570" t="s">
        <v>342</v>
      </c>
      <c r="D37" s="570"/>
      <c r="E37" s="14">
        <f>39760.91*12</f>
        <v>477130.92000000004</v>
      </c>
      <c r="F37" s="337">
        <f t="shared" ref="F37:Q38" si="13">$E37/12</f>
        <v>39760.910000000003</v>
      </c>
      <c r="G37" s="337">
        <f t="shared" si="13"/>
        <v>39760.910000000003</v>
      </c>
      <c r="H37" s="337">
        <f t="shared" si="13"/>
        <v>39760.910000000003</v>
      </c>
      <c r="I37" s="337">
        <f t="shared" si="13"/>
        <v>39760.910000000003</v>
      </c>
      <c r="J37" s="337">
        <f t="shared" si="13"/>
        <v>39760.910000000003</v>
      </c>
      <c r="K37" s="337">
        <f t="shared" si="13"/>
        <v>39760.910000000003</v>
      </c>
      <c r="L37" s="337">
        <f t="shared" si="13"/>
        <v>39760.910000000003</v>
      </c>
      <c r="M37" s="337">
        <f t="shared" si="13"/>
        <v>39760.910000000003</v>
      </c>
      <c r="N37" s="337">
        <f t="shared" si="13"/>
        <v>39760.910000000003</v>
      </c>
      <c r="O37" s="337">
        <f t="shared" si="13"/>
        <v>39760.910000000003</v>
      </c>
      <c r="P37" s="337">
        <f t="shared" si="13"/>
        <v>39760.910000000003</v>
      </c>
      <c r="Q37" s="337">
        <f t="shared" si="13"/>
        <v>39760.910000000003</v>
      </c>
      <c r="S37" s="463"/>
      <c r="T37" s="463"/>
    </row>
    <row r="38" spans="1:21" ht="15" thickBot="1">
      <c r="A38" s="5" t="s">
        <v>21</v>
      </c>
      <c r="B38" s="483">
        <v>2400</v>
      </c>
      <c r="C38" s="573" t="s">
        <v>342</v>
      </c>
      <c r="D38" s="573"/>
      <c r="E38" s="481">
        <f>60*12</f>
        <v>720</v>
      </c>
      <c r="F38" s="337">
        <f t="shared" si="13"/>
        <v>60</v>
      </c>
      <c r="G38" s="337">
        <f t="shared" si="13"/>
        <v>60</v>
      </c>
      <c r="H38" s="337">
        <f t="shared" si="13"/>
        <v>60</v>
      </c>
      <c r="I38" s="337">
        <f t="shared" si="13"/>
        <v>60</v>
      </c>
      <c r="J38" s="337">
        <f t="shared" si="13"/>
        <v>60</v>
      </c>
      <c r="K38" s="337">
        <f t="shared" si="13"/>
        <v>60</v>
      </c>
      <c r="L38" s="337">
        <f t="shared" si="13"/>
        <v>60</v>
      </c>
      <c r="M38" s="337">
        <f t="shared" si="13"/>
        <v>60</v>
      </c>
      <c r="N38" s="337">
        <f t="shared" si="13"/>
        <v>60</v>
      </c>
      <c r="O38" s="337">
        <f t="shared" si="13"/>
        <v>60</v>
      </c>
      <c r="P38" s="337">
        <f t="shared" si="13"/>
        <v>60</v>
      </c>
      <c r="Q38" s="337">
        <f t="shared" si="13"/>
        <v>60</v>
      </c>
      <c r="S38" s="463"/>
      <c r="T38" s="463"/>
    </row>
    <row r="39" spans="1:21" s="2" customFormat="1" ht="15" thickBot="1">
      <c r="A39" s="8" t="s">
        <v>30</v>
      </c>
      <c r="B39" s="23">
        <f>SUM(B40:B44)</f>
        <v>190500</v>
      </c>
      <c r="C39" s="568"/>
      <c r="D39" s="568"/>
      <c r="E39" s="23">
        <f>SUM(E40:E44)</f>
        <v>203052</v>
      </c>
      <c r="F39" s="20">
        <f t="shared" ref="F39:Q39" si="14">SUM(F40:F44)</f>
        <v>16921</v>
      </c>
      <c r="G39" s="20">
        <f t="shared" si="14"/>
        <v>16921</v>
      </c>
      <c r="H39" s="20">
        <f t="shared" si="14"/>
        <v>16921</v>
      </c>
      <c r="I39" s="20">
        <f t="shared" si="14"/>
        <v>16921</v>
      </c>
      <c r="J39" s="20">
        <f t="shared" si="14"/>
        <v>16921</v>
      </c>
      <c r="K39" s="20">
        <f t="shared" si="14"/>
        <v>16921</v>
      </c>
      <c r="L39" s="20">
        <f t="shared" si="14"/>
        <v>16921</v>
      </c>
      <c r="M39" s="20">
        <f t="shared" si="14"/>
        <v>16921</v>
      </c>
      <c r="N39" s="20">
        <f t="shared" si="14"/>
        <v>16921</v>
      </c>
      <c r="O39" s="20">
        <f t="shared" si="14"/>
        <v>16921</v>
      </c>
      <c r="P39" s="20">
        <f t="shared" si="14"/>
        <v>16921</v>
      </c>
      <c r="Q39" s="20">
        <f t="shared" si="14"/>
        <v>16921</v>
      </c>
      <c r="T39" s="463"/>
    </row>
    <row r="40" spans="1:21">
      <c r="A40" s="5" t="s">
        <v>10</v>
      </c>
      <c r="B40" s="484">
        <v>63600</v>
      </c>
      <c r="C40" s="569" t="s">
        <v>342</v>
      </c>
      <c r="D40" s="569"/>
      <c r="E40" s="482">
        <f>B40</f>
        <v>63600</v>
      </c>
      <c r="F40" s="521">
        <f>$E40/12</f>
        <v>5300</v>
      </c>
      <c r="G40" s="521">
        <f t="shared" ref="G40:Q44" si="15">$E40/12</f>
        <v>5300</v>
      </c>
      <c r="H40" s="521">
        <f t="shared" si="15"/>
        <v>5300</v>
      </c>
      <c r="I40" s="521">
        <f t="shared" si="15"/>
        <v>5300</v>
      </c>
      <c r="J40" s="521">
        <f t="shared" si="15"/>
        <v>5300</v>
      </c>
      <c r="K40" s="521">
        <f t="shared" si="15"/>
        <v>5300</v>
      </c>
      <c r="L40" s="521">
        <f t="shared" si="15"/>
        <v>5300</v>
      </c>
      <c r="M40" s="521">
        <f t="shared" si="15"/>
        <v>5300</v>
      </c>
      <c r="N40" s="521">
        <f t="shared" si="15"/>
        <v>5300</v>
      </c>
      <c r="O40" s="521">
        <f t="shared" si="15"/>
        <v>5300</v>
      </c>
      <c r="P40" s="521">
        <f t="shared" si="15"/>
        <v>5300</v>
      </c>
      <c r="Q40" s="521">
        <f t="shared" si="15"/>
        <v>5300</v>
      </c>
      <c r="S40" s="463"/>
      <c r="T40" s="463"/>
      <c r="U40" s="520"/>
    </row>
    <row r="41" spans="1:21">
      <c r="A41" s="5" t="s">
        <v>11</v>
      </c>
      <c r="B41" s="18">
        <v>1380</v>
      </c>
      <c r="C41" s="569" t="s">
        <v>342</v>
      </c>
      <c r="D41" s="569"/>
      <c r="E41" s="482">
        <f>B41</f>
        <v>1380</v>
      </c>
      <c r="F41" s="521">
        <f t="shared" ref="F41:F44" si="16">$E41/12</f>
        <v>115</v>
      </c>
      <c r="G41" s="521">
        <f t="shared" si="15"/>
        <v>115</v>
      </c>
      <c r="H41" s="521">
        <f t="shared" si="15"/>
        <v>115</v>
      </c>
      <c r="I41" s="521">
        <f t="shared" si="15"/>
        <v>115</v>
      </c>
      <c r="J41" s="521">
        <f t="shared" si="15"/>
        <v>115</v>
      </c>
      <c r="K41" s="521">
        <f t="shared" si="15"/>
        <v>115</v>
      </c>
      <c r="L41" s="521">
        <f t="shared" si="15"/>
        <v>115</v>
      </c>
      <c r="M41" s="521">
        <f t="shared" si="15"/>
        <v>115</v>
      </c>
      <c r="N41" s="521">
        <f t="shared" si="15"/>
        <v>115</v>
      </c>
      <c r="O41" s="521">
        <f t="shared" si="15"/>
        <v>115</v>
      </c>
      <c r="P41" s="521">
        <f t="shared" si="15"/>
        <v>115</v>
      </c>
      <c r="Q41" s="521">
        <f t="shared" si="15"/>
        <v>115</v>
      </c>
      <c r="S41" s="463"/>
      <c r="T41" s="463"/>
    </row>
    <row r="42" spans="1:21">
      <c r="A42" s="5" t="s">
        <v>13</v>
      </c>
      <c r="B42" s="18">
        <v>29520</v>
      </c>
      <c r="C42" s="569" t="s">
        <v>342</v>
      </c>
      <c r="D42" s="569"/>
      <c r="E42" s="482">
        <f>B42*1.1</f>
        <v>32472.000000000004</v>
      </c>
      <c r="F42" s="521">
        <f t="shared" si="16"/>
        <v>2706.0000000000005</v>
      </c>
      <c r="G42" s="521">
        <f t="shared" si="15"/>
        <v>2706.0000000000005</v>
      </c>
      <c r="H42" s="521">
        <f t="shared" si="15"/>
        <v>2706.0000000000005</v>
      </c>
      <c r="I42" s="521">
        <f t="shared" si="15"/>
        <v>2706.0000000000005</v>
      </c>
      <c r="J42" s="521">
        <f t="shared" si="15"/>
        <v>2706.0000000000005</v>
      </c>
      <c r="K42" s="521">
        <f t="shared" si="15"/>
        <v>2706.0000000000005</v>
      </c>
      <c r="L42" s="521">
        <f t="shared" si="15"/>
        <v>2706.0000000000005</v>
      </c>
      <c r="M42" s="521">
        <f t="shared" si="15"/>
        <v>2706.0000000000005</v>
      </c>
      <c r="N42" s="521">
        <f t="shared" si="15"/>
        <v>2706.0000000000005</v>
      </c>
      <c r="O42" s="521">
        <f t="shared" si="15"/>
        <v>2706.0000000000005</v>
      </c>
      <c r="P42" s="521">
        <f t="shared" si="15"/>
        <v>2706.0000000000005</v>
      </c>
      <c r="Q42" s="521">
        <f t="shared" si="15"/>
        <v>2706.0000000000005</v>
      </c>
      <c r="S42" s="463"/>
      <c r="T42" s="463"/>
    </row>
    <row r="43" spans="1:21">
      <c r="A43" s="5" t="s">
        <v>14</v>
      </c>
      <c r="B43" s="467">
        <v>48000</v>
      </c>
      <c r="C43" s="574" t="s">
        <v>342</v>
      </c>
      <c r="D43" s="574"/>
      <c r="E43" s="586">
        <f>B43*1</f>
        <v>48000</v>
      </c>
      <c r="F43" s="521">
        <f t="shared" si="16"/>
        <v>4000</v>
      </c>
      <c r="G43" s="521">
        <f t="shared" si="15"/>
        <v>4000</v>
      </c>
      <c r="H43" s="521">
        <f t="shared" si="15"/>
        <v>4000</v>
      </c>
      <c r="I43" s="521">
        <f t="shared" si="15"/>
        <v>4000</v>
      </c>
      <c r="J43" s="521">
        <f t="shared" si="15"/>
        <v>4000</v>
      </c>
      <c r="K43" s="521">
        <f t="shared" si="15"/>
        <v>4000</v>
      </c>
      <c r="L43" s="521">
        <f t="shared" si="15"/>
        <v>4000</v>
      </c>
      <c r="M43" s="521">
        <f t="shared" si="15"/>
        <v>4000</v>
      </c>
      <c r="N43" s="521">
        <f t="shared" si="15"/>
        <v>4000</v>
      </c>
      <c r="O43" s="521">
        <f t="shared" si="15"/>
        <v>4000</v>
      </c>
      <c r="P43" s="521">
        <f t="shared" si="15"/>
        <v>4000</v>
      </c>
      <c r="Q43" s="521">
        <f t="shared" si="15"/>
        <v>4000</v>
      </c>
      <c r="S43" s="463"/>
      <c r="T43" s="463"/>
    </row>
    <row r="44" spans="1:21" ht="15" thickBot="1">
      <c r="A44" s="5" t="s">
        <v>12</v>
      </c>
      <c r="B44" s="485">
        <v>48000</v>
      </c>
      <c r="C44" s="575" t="s">
        <v>342</v>
      </c>
      <c r="D44" s="575"/>
      <c r="E44" s="586">
        <f>B44*1.2</f>
        <v>57600</v>
      </c>
      <c r="F44" s="521">
        <f t="shared" si="16"/>
        <v>4800</v>
      </c>
      <c r="G44" s="521">
        <f t="shared" si="15"/>
        <v>4800</v>
      </c>
      <c r="H44" s="521">
        <f t="shared" si="15"/>
        <v>4800</v>
      </c>
      <c r="I44" s="521">
        <f t="shared" si="15"/>
        <v>4800</v>
      </c>
      <c r="J44" s="521">
        <f t="shared" si="15"/>
        <v>4800</v>
      </c>
      <c r="K44" s="521">
        <f t="shared" si="15"/>
        <v>4800</v>
      </c>
      <c r="L44" s="521">
        <f t="shared" si="15"/>
        <v>4800</v>
      </c>
      <c r="M44" s="521">
        <f t="shared" si="15"/>
        <v>4800</v>
      </c>
      <c r="N44" s="521">
        <f t="shared" si="15"/>
        <v>4800</v>
      </c>
      <c r="O44" s="521">
        <f t="shared" si="15"/>
        <v>4800</v>
      </c>
      <c r="P44" s="521">
        <f t="shared" si="15"/>
        <v>4800</v>
      </c>
      <c r="Q44" s="521">
        <f t="shared" si="15"/>
        <v>4800</v>
      </c>
      <c r="S44" s="463"/>
      <c r="T44" s="463"/>
    </row>
    <row r="45" spans="1:21" ht="15" thickBot="1">
      <c r="A45" s="8" t="s">
        <v>32</v>
      </c>
      <c r="B45" s="23">
        <f t="shared" ref="B45:Q45" si="17">SUM(B46:B53)</f>
        <v>376439.4</v>
      </c>
      <c r="C45" s="568"/>
      <c r="D45" s="568"/>
      <c r="E45" s="20">
        <f t="shared" si="17"/>
        <v>383676.14800000004</v>
      </c>
      <c r="F45" s="20">
        <f t="shared" si="17"/>
        <v>31973.012333333336</v>
      </c>
      <c r="G45" s="20">
        <f t="shared" si="17"/>
        <v>31973.012333333336</v>
      </c>
      <c r="H45" s="20">
        <f t="shared" si="17"/>
        <v>31973.012333333336</v>
      </c>
      <c r="I45" s="20">
        <f t="shared" si="17"/>
        <v>31973.012333333336</v>
      </c>
      <c r="J45" s="20">
        <f t="shared" si="17"/>
        <v>31973.012333333336</v>
      </c>
      <c r="K45" s="20">
        <f t="shared" si="17"/>
        <v>31973.012333333336</v>
      </c>
      <c r="L45" s="20">
        <f t="shared" si="17"/>
        <v>31973.012333333336</v>
      </c>
      <c r="M45" s="20">
        <f t="shared" si="17"/>
        <v>31973.012333333336</v>
      </c>
      <c r="N45" s="20">
        <f t="shared" si="17"/>
        <v>31973.012333333336</v>
      </c>
      <c r="O45" s="20">
        <f t="shared" si="17"/>
        <v>31973.012333333336</v>
      </c>
      <c r="P45" s="20">
        <f t="shared" si="17"/>
        <v>31973.012333333336</v>
      </c>
      <c r="Q45" s="20">
        <f t="shared" si="17"/>
        <v>31973.012333333336</v>
      </c>
      <c r="T45" s="463"/>
    </row>
    <row r="46" spans="1:21">
      <c r="A46" s="5" t="s">
        <v>262</v>
      </c>
      <c r="B46" s="484">
        <v>120000</v>
      </c>
      <c r="C46" s="569" t="s">
        <v>342</v>
      </c>
      <c r="D46" s="569"/>
      <c r="E46" s="482">
        <v>100000</v>
      </c>
      <c r="F46" s="521">
        <f>$E46/12</f>
        <v>8333.3333333333339</v>
      </c>
      <c r="G46" s="521">
        <f t="shared" ref="G46:Q53" si="18">$E46/12</f>
        <v>8333.3333333333339</v>
      </c>
      <c r="H46" s="521">
        <f t="shared" si="18"/>
        <v>8333.3333333333339</v>
      </c>
      <c r="I46" s="521">
        <f t="shared" si="18"/>
        <v>8333.3333333333339</v>
      </c>
      <c r="J46" s="521">
        <f t="shared" si="18"/>
        <v>8333.3333333333339</v>
      </c>
      <c r="K46" s="521">
        <f t="shared" si="18"/>
        <v>8333.3333333333339</v>
      </c>
      <c r="L46" s="521">
        <f t="shared" si="18"/>
        <v>8333.3333333333339</v>
      </c>
      <c r="M46" s="521">
        <f t="shared" si="18"/>
        <v>8333.3333333333339</v>
      </c>
      <c r="N46" s="521">
        <f t="shared" si="18"/>
        <v>8333.3333333333339</v>
      </c>
      <c r="O46" s="521">
        <f t="shared" si="18"/>
        <v>8333.3333333333339</v>
      </c>
      <c r="P46" s="521">
        <f t="shared" si="18"/>
        <v>8333.3333333333339</v>
      </c>
      <c r="Q46" s="521">
        <f t="shared" si="18"/>
        <v>8333.3333333333339</v>
      </c>
      <c r="T46" s="463"/>
      <c r="U46" s="520"/>
    </row>
    <row r="47" spans="1:21">
      <c r="A47" s="5" t="s">
        <v>343</v>
      </c>
      <c r="B47" s="18">
        <v>94416</v>
      </c>
      <c r="C47" s="569" t="s">
        <v>342</v>
      </c>
      <c r="D47" s="569"/>
      <c r="E47" s="569">
        <f>7268.42*12*1.1</f>
        <v>95943.144000000015</v>
      </c>
      <c r="F47" s="521">
        <f t="shared" ref="F47:F53" si="19">$E47/12</f>
        <v>7995.2620000000015</v>
      </c>
      <c r="G47" s="521">
        <f t="shared" si="18"/>
        <v>7995.2620000000015</v>
      </c>
      <c r="H47" s="521">
        <f t="shared" si="18"/>
        <v>7995.2620000000015</v>
      </c>
      <c r="I47" s="521">
        <f t="shared" si="18"/>
        <v>7995.2620000000015</v>
      </c>
      <c r="J47" s="521">
        <f t="shared" si="18"/>
        <v>7995.2620000000015</v>
      </c>
      <c r="K47" s="521">
        <f t="shared" si="18"/>
        <v>7995.2620000000015</v>
      </c>
      <c r="L47" s="521">
        <f t="shared" si="18"/>
        <v>7995.2620000000015</v>
      </c>
      <c r="M47" s="521">
        <f t="shared" si="18"/>
        <v>7995.2620000000015</v>
      </c>
      <c r="N47" s="521">
        <f t="shared" si="18"/>
        <v>7995.2620000000015</v>
      </c>
      <c r="O47" s="521">
        <f t="shared" si="18"/>
        <v>7995.2620000000015</v>
      </c>
      <c r="P47" s="521">
        <f t="shared" si="18"/>
        <v>7995.2620000000015</v>
      </c>
      <c r="Q47" s="521">
        <f t="shared" si="18"/>
        <v>7995.2620000000015</v>
      </c>
      <c r="S47" s="463"/>
      <c r="T47" s="463"/>
    </row>
    <row r="48" spans="1:21">
      <c r="A48" s="5" t="s">
        <v>27</v>
      </c>
      <c r="B48" s="18">
        <v>50400</v>
      </c>
      <c r="C48" s="569" t="s">
        <v>342</v>
      </c>
      <c r="D48" s="569"/>
      <c r="E48" s="482">
        <f>B48</f>
        <v>50400</v>
      </c>
      <c r="F48" s="521">
        <f t="shared" si="19"/>
        <v>4200</v>
      </c>
      <c r="G48" s="521">
        <f t="shared" si="18"/>
        <v>4200</v>
      </c>
      <c r="H48" s="521">
        <f t="shared" si="18"/>
        <v>4200</v>
      </c>
      <c r="I48" s="521">
        <f t="shared" si="18"/>
        <v>4200</v>
      </c>
      <c r="J48" s="521">
        <f t="shared" si="18"/>
        <v>4200</v>
      </c>
      <c r="K48" s="521">
        <f t="shared" si="18"/>
        <v>4200</v>
      </c>
      <c r="L48" s="521">
        <f t="shared" si="18"/>
        <v>4200</v>
      </c>
      <c r="M48" s="521">
        <f t="shared" si="18"/>
        <v>4200</v>
      </c>
      <c r="N48" s="521">
        <f t="shared" si="18"/>
        <v>4200</v>
      </c>
      <c r="O48" s="521">
        <f t="shared" si="18"/>
        <v>4200</v>
      </c>
      <c r="P48" s="521">
        <f t="shared" si="18"/>
        <v>4200</v>
      </c>
      <c r="Q48" s="521">
        <f t="shared" si="18"/>
        <v>4200</v>
      </c>
      <c r="T48" s="463"/>
    </row>
    <row r="49" spans="1:21">
      <c r="A49" s="5" t="s">
        <v>346</v>
      </c>
      <c r="B49" s="18">
        <v>54863.4</v>
      </c>
      <c r="C49" s="569" t="s">
        <v>342</v>
      </c>
      <c r="D49" s="569"/>
      <c r="E49" s="482">
        <f>4399.47*12*1.1</f>
        <v>58073.004000000001</v>
      </c>
      <c r="F49" s="521">
        <f t="shared" si="19"/>
        <v>4839.4170000000004</v>
      </c>
      <c r="G49" s="521">
        <f t="shared" si="18"/>
        <v>4839.4170000000004</v>
      </c>
      <c r="H49" s="521">
        <f t="shared" si="18"/>
        <v>4839.4170000000004</v>
      </c>
      <c r="I49" s="521">
        <f t="shared" si="18"/>
        <v>4839.4170000000004</v>
      </c>
      <c r="J49" s="521">
        <f t="shared" si="18"/>
        <v>4839.4170000000004</v>
      </c>
      <c r="K49" s="521">
        <f t="shared" si="18"/>
        <v>4839.4170000000004</v>
      </c>
      <c r="L49" s="521">
        <f t="shared" si="18"/>
        <v>4839.4170000000004</v>
      </c>
      <c r="M49" s="521">
        <f t="shared" si="18"/>
        <v>4839.4170000000004</v>
      </c>
      <c r="N49" s="521">
        <f t="shared" si="18"/>
        <v>4839.4170000000004</v>
      </c>
      <c r="O49" s="521">
        <f t="shared" si="18"/>
        <v>4839.4170000000004</v>
      </c>
      <c r="P49" s="521">
        <f t="shared" si="18"/>
        <v>4839.4170000000004</v>
      </c>
      <c r="Q49" s="521">
        <f t="shared" si="18"/>
        <v>4839.4170000000004</v>
      </c>
      <c r="T49" s="463"/>
    </row>
    <row r="50" spans="1:21">
      <c r="A50" s="5" t="s">
        <v>17</v>
      </c>
      <c r="B50" s="18">
        <v>11760</v>
      </c>
      <c r="C50" s="569" t="s">
        <v>342</v>
      </c>
      <c r="D50" s="569"/>
      <c r="E50" s="482">
        <f>B50</f>
        <v>11760</v>
      </c>
      <c r="F50" s="521">
        <f t="shared" si="19"/>
        <v>980</v>
      </c>
      <c r="G50" s="521">
        <f t="shared" si="18"/>
        <v>980</v>
      </c>
      <c r="H50" s="521">
        <f t="shared" si="18"/>
        <v>980</v>
      </c>
      <c r="I50" s="521">
        <f t="shared" si="18"/>
        <v>980</v>
      </c>
      <c r="J50" s="521">
        <f t="shared" si="18"/>
        <v>980</v>
      </c>
      <c r="K50" s="521">
        <f t="shared" si="18"/>
        <v>980</v>
      </c>
      <c r="L50" s="521">
        <f t="shared" si="18"/>
        <v>980</v>
      </c>
      <c r="M50" s="521">
        <f t="shared" si="18"/>
        <v>980</v>
      </c>
      <c r="N50" s="521">
        <f t="shared" si="18"/>
        <v>980</v>
      </c>
      <c r="O50" s="521">
        <f t="shared" si="18"/>
        <v>980</v>
      </c>
      <c r="P50" s="521">
        <f t="shared" si="18"/>
        <v>980</v>
      </c>
      <c r="Q50" s="521">
        <f t="shared" si="18"/>
        <v>980</v>
      </c>
      <c r="T50" s="463"/>
    </row>
    <row r="51" spans="1:21">
      <c r="A51" s="5" t="s">
        <v>347</v>
      </c>
      <c r="B51" s="18">
        <v>0</v>
      </c>
      <c r="C51" s="569" t="s">
        <v>342</v>
      </c>
      <c r="D51" s="569"/>
      <c r="E51" s="482">
        <f>1500*12</f>
        <v>18000</v>
      </c>
      <c r="F51" s="521">
        <f t="shared" si="19"/>
        <v>1500</v>
      </c>
      <c r="G51" s="521">
        <f t="shared" si="18"/>
        <v>1500</v>
      </c>
      <c r="H51" s="521">
        <f t="shared" si="18"/>
        <v>1500</v>
      </c>
      <c r="I51" s="521">
        <f t="shared" si="18"/>
        <v>1500</v>
      </c>
      <c r="J51" s="521">
        <f t="shared" si="18"/>
        <v>1500</v>
      </c>
      <c r="K51" s="521">
        <f t="shared" si="18"/>
        <v>1500</v>
      </c>
      <c r="L51" s="521">
        <f t="shared" si="18"/>
        <v>1500</v>
      </c>
      <c r="M51" s="521">
        <f t="shared" si="18"/>
        <v>1500</v>
      </c>
      <c r="N51" s="521">
        <f t="shared" si="18"/>
        <v>1500</v>
      </c>
      <c r="O51" s="521">
        <f t="shared" si="18"/>
        <v>1500</v>
      </c>
      <c r="P51" s="521">
        <f t="shared" si="18"/>
        <v>1500</v>
      </c>
      <c r="Q51" s="521">
        <f t="shared" si="18"/>
        <v>1500</v>
      </c>
      <c r="T51" s="463"/>
    </row>
    <row r="52" spans="1:21">
      <c r="A52" s="5" t="s">
        <v>45</v>
      </c>
      <c r="B52" s="18">
        <v>1800</v>
      </c>
      <c r="C52" s="569" t="s">
        <v>342</v>
      </c>
      <c r="D52" s="569"/>
      <c r="E52" s="482">
        <f>B52*1.1</f>
        <v>1980.0000000000002</v>
      </c>
      <c r="F52" s="521">
        <f t="shared" si="19"/>
        <v>165.00000000000003</v>
      </c>
      <c r="G52" s="521">
        <f t="shared" si="18"/>
        <v>165.00000000000003</v>
      </c>
      <c r="H52" s="521">
        <f t="shared" si="18"/>
        <v>165.00000000000003</v>
      </c>
      <c r="I52" s="521">
        <f t="shared" si="18"/>
        <v>165.00000000000003</v>
      </c>
      <c r="J52" s="521">
        <f t="shared" si="18"/>
        <v>165.00000000000003</v>
      </c>
      <c r="K52" s="521">
        <f t="shared" si="18"/>
        <v>165.00000000000003</v>
      </c>
      <c r="L52" s="521">
        <f t="shared" si="18"/>
        <v>165.00000000000003</v>
      </c>
      <c r="M52" s="521">
        <f t="shared" si="18"/>
        <v>165.00000000000003</v>
      </c>
      <c r="N52" s="521">
        <f t="shared" si="18"/>
        <v>165.00000000000003</v>
      </c>
      <c r="O52" s="521">
        <f t="shared" si="18"/>
        <v>165.00000000000003</v>
      </c>
      <c r="P52" s="521">
        <f t="shared" si="18"/>
        <v>165.00000000000003</v>
      </c>
      <c r="Q52" s="521">
        <f t="shared" si="18"/>
        <v>165.00000000000003</v>
      </c>
      <c r="T52" s="463"/>
    </row>
    <row r="53" spans="1:21" ht="15" thickBot="1">
      <c r="A53" s="5" t="s">
        <v>263</v>
      </c>
      <c r="B53" s="486">
        <v>43200</v>
      </c>
      <c r="C53" s="576" t="s">
        <v>342</v>
      </c>
      <c r="D53" s="576"/>
      <c r="E53" s="482">
        <f>B53*1.1</f>
        <v>47520.000000000007</v>
      </c>
      <c r="F53" s="521">
        <f t="shared" si="19"/>
        <v>3960.0000000000005</v>
      </c>
      <c r="G53" s="521">
        <f t="shared" si="18"/>
        <v>3960.0000000000005</v>
      </c>
      <c r="H53" s="521">
        <f t="shared" si="18"/>
        <v>3960.0000000000005</v>
      </c>
      <c r="I53" s="521">
        <f t="shared" si="18"/>
        <v>3960.0000000000005</v>
      </c>
      <c r="J53" s="521">
        <f t="shared" si="18"/>
        <v>3960.0000000000005</v>
      </c>
      <c r="K53" s="521">
        <f t="shared" si="18"/>
        <v>3960.0000000000005</v>
      </c>
      <c r="L53" s="521">
        <f t="shared" si="18"/>
        <v>3960.0000000000005</v>
      </c>
      <c r="M53" s="521">
        <f t="shared" si="18"/>
        <v>3960.0000000000005</v>
      </c>
      <c r="N53" s="521">
        <f t="shared" si="18"/>
        <v>3960.0000000000005</v>
      </c>
      <c r="O53" s="521">
        <f t="shared" si="18"/>
        <v>3960.0000000000005</v>
      </c>
      <c r="P53" s="521">
        <f t="shared" si="18"/>
        <v>3960.0000000000005</v>
      </c>
      <c r="Q53" s="521">
        <f t="shared" si="18"/>
        <v>3960.0000000000005</v>
      </c>
      <c r="T53" s="463"/>
      <c r="U53" s="520"/>
    </row>
    <row r="54" spans="1:21" s="118" customFormat="1" ht="15" thickBot="1">
      <c r="A54" s="118" t="s">
        <v>351</v>
      </c>
      <c r="B54" s="117">
        <f>SUM(B55:B65)</f>
        <v>139503.72</v>
      </c>
      <c r="C54" s="577"/>
      <c r="D54" s="577"/>
      <c r="E54" s="341">
        <f>SUM(E55:E65)+E68</f>
        <v>738938.1</v>
      </c>
      <c r="F54" s="341">
        <f t="shared" ref="F54:Q54" si="20">SUM(F55:F65)+F68</f>
        <v>61578.175000000003</v>
      </c>
      <c r="G54" s="341">
        <f t="shared" si="20"/>
        <v>61578.175000000003</v>
      </c>
      <c r="H54" s="341">
        <f t="shared" si="20"/>
        <v>61578.175000000003</v>
      </c>
      <c r="I54" s="341">
        <f t="shared" si="20"/>
        <v>61578.175000000003</v>
      </c>
      <c r="J54" s="341">
        <f t="shared" si="20"/>
        <v>61578.175000000003</v>
      </c>
      <c r="K54" s="341">
        <f t="shared" si="20"/>
        <v>61578.175000000003</v>
      </c>
      <c r="L54" s="341">
        <f t="shared" si="20"/>
        <v>61578.175000000003</v>
      </c>
      <c r="M54" s="341">
        <f t="shared" si="20"/>
        <v>61578.175000000003</v>
      </c>
      <c r="N54" s="341">
        <f t="shared" si="20"/>
        <v>61578.175000000003</v>
      </c>
      <c r="O54" s="341">
        <f t="shared" si="20"/>
        <v>61578.175000000003</v>
      </c>
      <c r="P54" s="341">
        <f t="shared" si="20"/>
        <v>61578.175000000003</v>
      </c>
      <c r="Q54" s="341">
        <f t="shared" si="20"/>
        <v>61578.175000000003</v>
      </c>
      <c r="S54" s="118" t="s">
        <v>289</v>
      </c>
      <c r="T54" s="463"/>
    </row>
    <row r="55" spans="1:21">
      <c r="A55" s="5" t="s">
        <v>287</v>
      </c>
      <c r="B55" s="484">
        <v>18000</v>
      </c>
      <c r="C55" s="569" t="s">
        <v>342</v>
      </c>
      <c r="D55" s="569"/>
      <c r="E55" s="482">
        <v>6987.6</v>
      </c>
      <c r="F55" s="482">
        <f>$E$55/12</f>
        <v>582.30000000000007</v>
      </c>
      <c r="G55" s="482">
        <f t="shared" ref="G55:Q55" si="21">$E$55/12</f>
        <v>582.30000000000007</v>
      </c>
      <c r="H55" s="482">
        <f t="shared" si="21"/>
        <v>582.30000000000007</v>
      </c>
      <c r="I55" s="482">
        <f t="shared" si="21"/>
        <v>582.30000000000007</v>
      </c>
      <c r="J55" s="482">
        <f t="shared" si="21"/>
        <v>582.30000000000007</v>
      </c>
      <c r="K55" s="482">
        <f t="shared" si="21"/>
        <v>582.30000000000007</v>
      </c>
      <c r="L55" s="482">
        <f t="shared" si="21"/>
        <v>582.30000000000007</v>
      </c>
      <c r="M55" s="482">
        <f t="shared" si="21"/>
        <v>582.30000000000007</v>
      </c>
      <c r="N55" s="482">
        <f t="shared" si="21"/>
        <v>582.30000000000007</v>
      </c>
      <c r="O55" s="482">
        <f t="shared" si="21"/>
        <v>582.30000000000007</v>
      </c>
      <c r="P55" s="482">
        <f t="shared" si="21"/>
        <v>582.30000000000007</v>
      </c>
      <c r="Q55" s="482">
        <f t="shared" si="21"/>
        <v>582.30000000000007</v>
      </c>
      <c r="T55" s="463"/>
    </row>
    <row r="56" spans="1:21">
      <c r="A56" s="5" t="s">
        <v>139</v>
      </c>
      <c r="B56" s="18">
        <v>2916</v>
      </c>
      <c r="C56" s="570"/>
      <c r="D56" s="570"/>
      <c r="E56" s="14">
        <v>0</v>
      </c>
      <c r="F56" s="14">
        <f>$E$56/12</f>
        <v>0</v>
      </c>
      <c r="G56" s="14">
        <f t="shared" ref="G56:Q56" si="22">$E$56/12</f>
        <v>0</v>
      </c>
      <c r="H56" s="14">
        <f t="shared" si="22"/>
        <v>0</v>
      </c>
      <c r="I56" s="14">
        <f t="shared" si="22"/>
        <v>0</v>
      </c>
      <c r="J56" s="14">
        <f t="shared" si="22"/>
        <v>0</v>
      </c>
      <c r="K56" s="14">
        <f t="shared" si="22"/>
        <v>0</v>
      </c>
      <c r="L56" s="14">
        <f t="shared" si="22"/>
        <v>0</v>
      </c>
      <c r="M56" s="14">
        <f t="shared" si="22"/>
        <v>0</v>
      </c>
      <c r="N56" s="14">
        <f t="shared" si="22"/>
        <v>0</v>
      </c>
      <c r="O56" s="14">
        <f t="shared" si="22"/>
        <v>0</v>
      </c>
      <c r="P56" s="14">
        <f t="shared" si="22"/>
        <v>0</v>
      </c>
      <c r="Q56" s="14">
        <f t="shared" si="22"/>
        <v>0</v>
      </c>
      <c r="S56" s="1" t="s">
        <v>344</v>
      </c>
      <c r="T56" s="463"/>
    </row>
    <row r="57" spans="1:21">
      <c r="A57" s="5" t="s">
        <v>34</v>
      </c>
      <c r="B57" s="18">
        <v>16497.72</v>
      </c>
      <c r="C57" s="570" t="s">
        <v>342</v>
      </c>
      <c r="D57" s="570"/>
      <c r="E57" s="14">
        <v>7623.72</v>
      </c>
      <c r="F57" s="14">
        <f>$E$57/12</f>
        <v>635.31000000000006</v>
      </c>
      <c r="G57" s="14">
        <f t="shared" ref="G57:Q57" si="23">$E$57/12</f>
        <v>635.31000000000006</v>
      </c>
      <c r="H57" s="14">
        <f t="shared" si="23"/>
        <v>635.31000000000006</v>
      </c>
      <c r="I57" s="14">
        <f t="shared" si="23"/>
        <v>635.31000000000006</v>
      </c>
      <c r="J57" s="14">
        <f t="shared" si="23"/>
        <v>635.31000000000006</v>
      </c>
      <c r="K57" s="14">
        <f t="shared" si="23"/>
        <v>635.31000000000006</v>
      </c>
      <c r="L57" s="14">
        <f t="shared" si="23"/>
        <v>635.31000000000006</v>
      </c>
      <c r="M57" s="14">
        <f t="shared" si="23"/>
        <v>635.31000000000006</v>
      </c>
      <c r="N57" s="14">
        <f t="shared" si="23"/>
        <v>635.31000000000006</v>
      </c>
      <c r="O57" s="14">
        <f t="shared" si="23"/>
        <v>635.31000000000006</v>
      </c>
      <c r="P57" s="14">
        <f t="shared" si="23"/>
        <v>635.31000000000006</v>
      </c>
      <c r="Q57" s="14">
        <f t="shared" si="23"/>
        <v>635.31000000000006</v>
      </c>
      <c r="T57" s="463"/>
    </row>
    <row r="58" spans="1:21">
      <c r="A58" s="5" t="s">
        <v>285</v>
      </c>
      <c r="B58" s="18">
        <v>0</v>
      </c>
      <c r="C58" s="570" t="s">
        <v>342</v>
      </c>
      <c r="D58" s="570"/>
      <c r="E58" s="14">
        <v>2541.2399999999998</v>
      </c>
      <c r="F58" s="14">
        <f t="shared" ref="F58:Q58" si="24">$E$58/12</f>
        <v>211.76999999999998</v>
      </c>
      <c r="G58" s="14">
        <f t="shared" si="24"/>
        <v>211.76999999999998</v>
      </c>
      <c r="H58" s="14">
        <f t="shared" si="24"/>
        <v>211.76999999999998</v>
      </c>
      <c r="I58" s="14">
        <f t="shared" si="24"/>
        <v>211.76999999999998</v>
      </c>
      <c r="J58" s="14">
        <f t="shared" si="24"/>
        <v>211.76999999999998</v>
      </c>
      <c r="K58" s="14">
        <f t="shared" si="24"/>
        <v>211.76999999999998</v>
      </c>
      <c r="L58" s="14">
        <f t="shared" si="24"/>
        <v>211.76999999999998</v>
      </c>
      <c r="M58" s="14">
        <f t="shared" si="24"/>
        <v>211.76999999999998</v>
      </c>
      <c r="N58" s="14">
        <f t="shared" si="24"/>
        <v>211.76999999999998</v>
      </c>
      <c r="O58" s="14">
        <f t="shared" si="24"/>
        <v>211.76999999999998</v>
      </c>
      <c r="P58" s="14">
        <f t="shared" si="24"/>
        <v>211.76999999999998</v>
      </c>
      <c r="Q58" s="14">
        <f t="shared" si="24"/>
        <v>211.76999999999998</v>
      </c>
      <c r="T58" s="463"/>
    </row>
    <row r="59" spans="1:21">
      <c r="A59" s="1" t="s">
        <v>140</v>
      </c>
      <c r="B59" s="18">
        <v>3207.6</v>
      </c>
      <c r="C59" s="570" t="s">
        <v>342</v>
      </c>
      <c r="D59" s="570"/>
      <c r="E59" s="14">
        <v>3445.2</v>
      </c>
      <c r="F59" s="14">
        <f>$E$59/12</f>
        <v>287.09999999999997</v>
      </c>
      <c r="G59" s="14">
        <f t="shared" ref="G59:Q59" si="25">$E$59/12</f>
        <v>287.09999999999997</v>
      </c>
      <c r="H59" s="14">
        <f t="shared" si="25"/>
        <v>287.09999999999997</v>
      </c>
      <c r="I59" s="14">
        <f t="shared" si="25"/>
        <v>287.09999999999997</v>
      </c>
      <c r="J59" s="14">
        <f t="shared" si="25"/>
        <v>287.09999999999997</v>
      </c>
      <c r="K59" s="14">
        <f t="shared" si="25"/>
        <v>287.09999999999997</v>
      </c>
      <c r="L59" s="14">
        <f t="shared" si="25"/>
        <v>287.09999999999997</v>
      </c>
      <c r="M59" s="14">
        <f t="shared" si="25"/>
        <v>287.09999999999997</v>
      </c>
      <c r="N59" s="14">
        <f t="shared" si="25"/>
        <v>287.09999999999997</v>
      </c>
      <c r="O59" s="14">
        <f t="shared" si="25"/>
        <v>287.09999999999997</v>
      </c>
      <c r="P59" s="14">
        <f t="shared" si="25"/>
        <v>287.09999999999997</v>
      </c>
      <c r="Q59" s="14">
        <f t="shared" si="25"/>
        <v>287.09999999999997</v>
      </c>
      <c r="T59" s="463"/>
    </row>
    <row r="60" spans="1:21">
      <c r="A60" s="5" t="s">
        <v>44</v>
      </c>
      <c r="B60" s="18">
        <v>4082.4</v>
      </c>
      <c r="C60" s="570" t="s">
        <v>342</v>
      </c>
      <c r="D60" s="588" t="s">
        <v>304</v>
      </c>
      <c r="E60" s="592">
        <f>1524913.56/2</f>
        <v>762456.78</v>
      </c>
      <c r="F60" s="14">
        <f>$E$60/12</f>
        <v>63538.065000000002</v>
      </c>
      <c r="G60" s="14">
        <f t="shared" ref="G60:Q60" si="26">$E$60/12</f>
        <v>63538.065000000002</v>
      </c>
      <c r="H60" s="14">
        <f t="shared" si="26"/>
        <v>63538.065000000002</v>
      </c>
      <c r="I60" s="14">
        <f t="shared" si="26"/>
        <v>63538.065000000002</v>
      </c>
      <c r="J60" s="14">
        <f t="shared" si="26"/>
        <v>63538.065000000002</v>
      </c>
      <c r="K60" s="14">
        <f t="shared" si="26"/>
        <v>63538.065000000002</v>
      </c>
      <c r="L60" s="14">
        <f t="shared" si="26"/>
        <v>63538.065000000002</v>
      </c>
      <c r="M60" s="14">
        <f t="shared" si="26"/>
        <v>63538.065000000002</v>
      </c>
      <c r="N60" s="14">
        <f t="shared" si="26"/>
        <v>63538.065000000002</v>
      </c>
      <c r="O60" s="14">
        <f t="shared" si="26"/>
        <v>63538.065000000002</v>
      </c>
      <c r="P60" s="14">
        <f t="shared" si="26"/>
        <v>63538.065000000002</v>
      </c>
      <c r="Q60" s="14">
        <f t="shared" si="26"/>
        <v>63538.065000000002</v>
      </c>
      <c r="T60" s="463"/>
    </row>
    <row r="61" spans="1:21">
      <c r="A61" s="5" t="s">
        <v>286</v>
      </c>
      <c r="B61" s="591">
        <v>0</v>
      </c>
      <c r="C61" s="570" t="s">
        <v>342</v>
      </c>
      <c r="D61" s="588" t="s">
        <v>306</v>
      </c>
      <c r="E61" s="592">
        <v>240000</v>
      </c>
      <c r="F61" s="14">
        <f>$E$61/12</f>
        <v>20000</v>
      </c>
      <c r="G61" s="14">
        <f t="shared" ref="G61:Q61" si="27">$E$61/12</f>
        <v>20000</v>
      </c>
      <c r="H61" s="14">
        <f t="shared" si="27"/>
        <v>20000</v>
      </c>
      <c r="I61" s="14">
        <f t="shared" si="27"/>
        <v>20000</v>
      </c>
      <c r="J61" s="14">
        <f t="shared" si="27"/>
        <v>20000</v>
      </c>
      <c r="K61" s="14">
        <f t="shared" si="27"/>
        <v>20000</v>
      </c>
      <c r="L61" s="14">
        <f t="shared" si="27"/>
        <v>20000</v>
      </c>
      <c r="M61" s="14">
        <f t="shared" si="27"/>
        <v>20000</v>
      </c>
      <c r="N61" s="14">
        <f t="shared" si="27"/>
        <v>20000</v>
      </c>
      <c r="O61" s="14">
        <f t="shared" si="27"/>
        <v>20000</v>
      </c>
      <c r="P61" s="14">
        <f t="shared" si="27"/>
        <v>20000</v>
      </c>
      <c r="Q61" s="14">
        <f t="shared" si="27"/>
        <v>20000</v>
      </c>
      <c r="T61" s="463"/>
    </row>
    <row r="62" spans="1:21">
      <c r="A62" s="1" t="s">
        <v>141</v>
      </c>
      <c r="B62" s="18">
        <v>42000</v>
      </c>
      <c r="C62" s="570" t="s">
        <v>342</v>
      </c>
      <c r="D62" s="570"/>
      <c r="E62" s="14">
        <v>4447.4399999999996</v>
      </c>
      <c r="F62" s="14">
        <f t="shared" ref="F62:Q62" si="28">$E$62/12</f>
        <v>370.61999999999995</v>
      </c>
      <c r="G62" s="14">
        <f t="shared" si="28"/>
        <v>370.61999999999995</v>
      </c>
      <c r="H62" s="14">
        <f t="shared" si="28"/>
        <v>370.61999999999995</v>
      </c>
      <c r="I62" s="14">
        <f t="shared" si="28"/>
        <v>370.61999999999995</v>
      </c>
      <c r="J62" s="14">
        <f t="shared" si="28"/>
        <v>370.61999999999995</v>
      </c>
      <c r="K62" s="14">
        <f t="shared" si="28"/>
        <v>370.61999999999995</v>
      </c>
      <c r="L62" s="14">
        <f t="shared" si="28"/>
        <v>370.61999999999995</v>
      </c>
      <c r="M62" s="14">
        <f t="shared" si="28"/>
        <v>370.61999999999995</v>
      </c>
      <c r="N62" s="14">
        <f t="shared" si="28"/>
        <v>370.61999999999995</v>
      </c>
      <c r="O62" s="14">
        <f t="shared" si="28"/>
        <v>370.61999999999995</v>
      </c>
      <c r="P62" s="14">
        <f t="shared" si="28"/>
        <v>370.61999999999995</v>
      </c>
      <c r="Q62" s="14">
        <f t="shared" si="28"/>
        <v>370.61999999999995</v>
      </c>
      <c r="T62" s="463"/>
    </row>
    <row r="63" spans="1:21">
      <c r="A63" s="1" t="s">
        <v>288</v>
      </c>
      <c r="B63" s="18">
        <v>42000</v>
      </c>
      <c r="C63" s="570" t="s">
        <v>342</v>
      </c>
      <c r="D63" s="570"/>
      <c r="E63" s="14">
        <v>6353.64</v>
      </c>
      <c r="F63" s="14">
        <f>$E63/12</f>
        <v>529.47</v>
      </c>
      <c r="G63" s="14">
        <f t="shared" ref="G63:Q63" si="29">$E63/12</f>
        <v>529.47</v>
      </c>
      <c r="H63" s="14">
        <f t="shared" si="29"/>
        <v>529.47</v>
      </c>
      <c r="I63" s="14">
        <f t="shared" si="29"/>
        <v>529.47</v>
      </c>
      <c r="J63" s="14">
        <f t="shared" si="29"/>
        <v>529.47</v>
      </c>
      <c r="K63" s="14">
        <f t="shared" si="29"/>
        <v>529.47</v>
      </c>
      <c r="L63" s="14">
        <f t="shared" si="29"/>
        <v>529.47</v>
      </c>
      <c r="M63" s="14">
        <f t="shared" si="29"/>
        <v>529.47</v>
      </c>
      <c r="N63" s="14">
        <f t="shared" si="29"/>
        <v>529.47</v>
      </c>
      <c r="O63" s="14">
        <f t="shared" si="29"/>
        <v>529.47</v>
      </c>
      <c r="P63" s="14">
        <f t="shared" si="29"/>
        <v>529.47</v>
      </c>
      <c r="Q63" s="14">
        <f t="shared" si="29"/>
        <v>529.47</v>
      </c>
      <c r="T63" s="463"/>
    </row>
    <row r="64" spans="1:21">
      <c r="A64" s="1" t="s">
        <v>264</v>
      </c>
      <c r="B64" s="18">
        <v>6000</v>
      </c>
      <c r="C64" s="570"/>
      <c r="D64" s="570"/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S64" s="1" t="s">
        <v>344</v>
      </c>
      <c r="T64" s="463"/>
    </row>
    <row r="65" spans="1:20" ht="15" thickBot="1">
      <c r="A65" s="1" t="s">
        <v>175</v>
      </c>
      <c r="B65" s="19">
        <v>4800</v>
      </c>
      <c r="C65" s="578" t="s">
        <v>342</v>
      </c>
      <c r="D65" s="578"/>
      <c r="E65" s="340">
        <v>5082.4799999999996</v>
      </c>
      <c r="F65" s="340">
        <f>$E$65/12</f>
        <v>423.53999999999996</v>
      </c>
      <c r="G65" s="340">
        <f t="shared" ref="G65:Q65" si="30">$E$65/12</f>
        <v>423.53999999999996</v>
      </c>
      <c r="H65" s="340">
        <f t="shared" si="30"/>
        <v>423.53999999999996</v>
      </c>
      <c r="I65" s="340">
        <f t="shared" si="30"/>
        <v>423.53999999999996</v>
      </c>
      <c r="J65" s="340">
        <f t="shared" si="30"/>
        <v>423.53999999999996</v>
      </c>
      <c r="K65" s="340">
        <f t="shared" si="30"/>
        <v>423.53999999999996</v>
      </c>
      <c r="L65" s="340">
        <f t="shared" si="30"/>
        <v>423.53999999999996</v>
      </c>
      <c r="M65" s="340">
        <f t="shared" si="30"/>
        <v>423.53999999999996</v>
      </c>
      <c r="N65" s="340">
        <f t="shared" si="30"/>
        <v>423.53999999999996</v>
      </c>
      <c r="O65" s="340">
        <f t="shared" si="30"/>
        <v>423.53999999999996</v>
      </c>
      <c r="P65" s="340">
        <f t="shared" si="30"/>
        <v>423.53999999999996</v>
      </c>
      <c r="Q65" s="340">
        <f t="shared" si="30"/>
        <v>423.53999999999996</v>
      </c>
      <c r="T65" s="463"/>
    </row>
    <row r="66" spans="1:20" ht="15" thickBot="1"/>
    <row r="67" spans="1:20" ht="15" hidden="1" thickBot="1">
      <c r="A67" s="5"/>
      <c r="B67" s="10"/>
      <c r="C67" s="580"/>
      <c r="D67" s="58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11"/>
      <c r="P67" s="11"/>
      <c r="Q67" s="11"/>
    </row>
    <row r="68" spans="1:20" s="2" customFormat="1" ht="15" thickBot="1">
      <c r="A68" s="8" t="s">
        <v>33</v>
      </c>
      <c r="B68" s="23">
        <v>0</v>
      </c>
      <c r="C68" s="581"/>
      <c r="D68" s="589" t="s">
        <v>303</v>
      </c>
      <c r="E68" s="593">
        <v>-300000</v>
      </c>
      <c r="F68" s="487">
        <f t="shared" ref="F68:Q68" si="31">$E68/12</f>
        <v>-25000</v>
      </c>
      <c r="G68" s="487">
        <f t="shared" si="31"/>
        <v>-25000</v>
      </c>
      <c r="H68" s="487">
        <f t="shared" si="31"/>
        <v>-25000</v>
      </c>
      <c r="I68" s="487">
        <f t="shared" si="31"/>
        <v>-25000</v>
      </c>
      <c r="J68" s="487">
        <f t="shared" si="31"/>
        <v>-25000</v>
      </c>
      <c r="K68" s="487">
        <f t="shared" si="31"/>
        <v>-25000</v>
      </c>
      <c r="L68" s="487">
        <f t="shared" si="31"/>
        <v>-25000</v>
      </c>
      <c r="M68" s="487">
        <f t="shared" si="31"/>
        <v>-25000</v>
      </c>
      <c r="N68" s="487">
        <f t="shared" si="31"/>
        <v>-25000</v>
      </c>
      <c r="O68" s="487">
        <f t="shared" si="31"/>
        <v>-25000</v>
      </c>
      <c r="P68" s="487">
        <f t="shared" si="31"/>
        <v>-25000</v>
      </c>
      <c r="Q68" s="487">
        <f t="shared" si="31"/>
        <v>-25000</v>
      </c>
    </row>
    <row r="69" spans="1:20">
      <c r="A69" s="5"/>
      <c r="B69" s="9"/>
      <c r="C69" s="565"/>
      <c r="D69" s="565"/>
      <c r="E69" s="9"/>
      <c r="F69" s="9"/>
      <c r="G69" s="9"/>
      <c r="H69" s="9"/>
      <c r="I69" s="9"/>
      <c r="J69" s="9"/>
      <c r="K69" s="9"/>
      <c r="L69" s="9"/>
      <c r="M69" s="9"/>
      <c r="N69" s="338"/>
      <c r="O69" s="338"/>
      <c r="P69" s="338"/>
      <c r="Q69" s="338"/>
    </row>
    <row r="70" spans="1:20" s="2" customFormat="1" ht="15" thickBot="1">
      <c r="A70" s="8" t="s">
        <v>38</v>
      </c>
      <c r="B70" s="16">
        <f>B23+B39+B45+B54</f>
        <v>1459076.2</v>
      </c>
      <c r="C70" s="582"/>
      <c r="D70" s="582"/>
      <c r="E70" s="16">
        <f>E23+E39+E45+E54</f>
        <v>2155628.1800000002</v>
      </c>
      <c r="F70" s="16">
        <f>F23+F39+F45+F54</f>
        <v>179635.68166666667</v>
      </c>
      <c r="G70" s="16">
        <f>G23+G39+G45+G54</f>
        <v>179635.68166666667</v>
      </c>
      <c r="H70" s="16">
        <f t="shared" ref="H70:Q70" si="32">H23+H39+H45+H54</f>
        <v>179635.68166666667</v>
      </c>
      <c r="I70" s="16">
        <f t="shared" si="32"/>
        <v>179635.68166666667</v>
      </c>
      <c r="J70" s="16">
        <f t="shared" si="32"/>
        <v>179635.68166666667</v>
      </c>
      <c r="K70" s="16">
        <f t="shared" si="32"/>
        <v>179635.68166666667</v>
      </c>
      <c r="L70" s="16">
        <f t="shared" si="32"/>
        <v>179635.68166666667</v>
      </c>
      <c r="M70" s="16">
        <f t="shared" si="32"/>
        <v>179635.68166666667</v>
      </c>
      <c r="N70" s="16">
        <f t="shared" si="32"/>
        <v>179635.68166666667</v>
      </c>
      <c r="O70" s="16">
        <f t="shared" si="32"/>
        <v>179635.68166666667</v>
      </c>
      <c r="P70" s="16">
        <f t="shared" si="32"/>
        <v>179635.68166666667</v>
      </c>
      <c r="Q70" s="16">
        <f t="shared" si="32"/>
        <v>179635.68166666667</v>
      </c>
      <c r="S70" s="587">
        <f>SUM(F70:R70)</f>
        <v>2155628.1800000002</v>
      </c>
    </row>
    <row r="71" spans="1:20" s="2" customFormat="1" ht="15" thickBot="1">
      <c r="A71" s="2" t="s">
        <v>46</v>
      </c>
      <c r="B71" s="17">
        <v>3048.87</v>
      </c>
      <c r="C71" s="583"/>
      <c r="D71" s="583"/>
      <c r="E71" s="17">
        <v>2767.02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</row>
    <row r="72" spans="1:20" s="2" customFormat="1" ht="15" thickBot="1">
      <c r="A72" s="15" t="s">
        <v>39</v>
      </c>
      <c r="B72" s="25">
        <f>B21-B70-B71</f>
        <v>83053.710000000079</v>
      </c>
      <c r="C72" s="584"/>
      <c r="D72" s="584"/>
      <c r="E72" s="25">
        <f t="shared" ref="E72:Q72" si="33">E21-(E70+E71)</f>
        <v>17661.230131159071</v>
      </c>
      <c r="F72" s="25">
        <f t="shared" si="33"/>
        <v>1702.3541775965714</v>
      </c>
      <c r="G72" s="25">
        <f t="shared" si="33"/>
        <v>1702.3541775965714</v>
      </c>
      <c r="H72" s="25">
        <f t="shared" si="33"/>
        <v>1702.3541775965714</v>
      </c>
      <c r="I72" s="25">
        <f t="shared" si="33"/>
        <v>1702.3541775965714</v>
      </c>
      <c r="J72" s="25">
        <f t="shared" si="33"/>
        <v>1702.3541775965714</v>
      </c>
      <c r="K72" s="25">
        <f t="shared" si="33"/>
        <v>1702.3541775965714</v>
      </c>
      <c r="L72" s="25">
        <f t="shared" si="33"/>
        <v>1702.3541775965714</v>
      </c>
      <c r="M72" s="25">
        <f t="shared" si="33"/>
        <v>1702.3541775965714</v>
      </c>
      <c r="N72" s="25">
        <f t="shared" si="33"/>
        <v>1702.3541775965714</v>
      </c>
      <c r="O72" s="25">
        <f t="shared" si="33"/>
        <v>1702.3541775965714</v>
      </c>
      <c r="P72" s="25">
        <f t="shared" si="33"/>
        <v>1702.3541775965714</v>
      </c>
      <c r="Q72" s="25">
        <f t="shared" si="33"/>
        <v>1702.3541775965714</v>
      </c>
      <c r="S72" s="587">
        <f>SUM(F72:R72)</f>
        <v>20428.250131158857</v>
      </c>
    </row>
    <row r="73" spans="1:20" hidden="1">
      <c r="A73" s="489"/>
      <c r="B73" s="490">
        <f>B72-656125</f>
        <v>-573071.28999999992</v>
      </c>
      <c r="C73" s="552"/>
      <c r="D73" s="55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20" hidden="1">
      <c r="A74" s="489"/>
      <c r="B74" s="490"/>
      <c r="C74" s="552"/>
      <c r="D74" s="55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20" hidden="1">
      <c r="A75" s="489" t="s">
        <v>177</v>
      </c>
      <c r="B75" s="490">
        <v>796077.18</v>
      </c>
      <c r="C75" s="552"/>
      <c r="D75" s="55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20" hidden="1">
      <c r="A76" s="489" t="s">
        <v>178</v>
      </c>
      <c r="B76" s="490">
        <f>959056*25/100</f>
        <v>239764</v>
      </c>
      <c r="C76" s="552"/>
      <c r="D76" s="55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20" ht="15" hidden="1" thickBot="1">
      <c r="A77" s="491" t="s">
        <v>47</v>
      </c>
      <c r="B77" s="492">
        <f>B75-B76</f>
        <v>556313.18000000005</v>
      </c>
      <c r="C77" s="585"/>
      <c r="D77" s="5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20" hidden="1">
      <c r="B78" s="3"/>
      <c r="C78" s="553"/>
      <c r="D78" s="55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20">
      <c r="B79" s="3"/>
      <c r="C79" s="553"/>
      <c r="D79" s="55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20">
      <c r="A80" s="489" t="s">
        <v>350</v>
      </c>
      <c r="B80" s="552" t="s">
        <v>303</v>
      </c>
      <c r="C80" s="552"/>
      <c r="D80" s="552"/>
      <c r="E80" s="490" t="s">
        <v>352</v>
      </c>
      <c r="F80" s="490"/>
      <c r="G80" s="490"/>
      <c r="H80" s="490"/>
      <c r="I80" s="490"/>
      <c r="J80" s="490"/>
      <c r="K80" s="490"/>
      <c r="L80" s="490"/>
      <c r="M80" s="3"/>
      <c r="N80" s="3"/>
      <c r="O80" s="3"/>
      <c r="P80" s="3"/>
      <c r="Q80" s="3"/>
    </row>
    <row r="81" spans="1:17">
      <c r="A81" s="489"/>
      <c r="B81" s="552" t="s">
        <v>304</v>
      </c>
      <c r="C81" s="552"/>
      <c r="D81" s="552"/>
      <c r="E81" s="490" t="s">
        <v>305</v>
      </c>
      <c r="F81" s="490"/>
      <c r="G81" s="490"/>
      <c r="H81" s="490"/>
      <c r="I81" s="490"/>
      <c r="J81" s="490"/>
      <c r="K81" s="490"/>
      <c r="L81" s="490"/>
      <c r="M81" s="3"/>
      <c r="N81" s="3"/>
      <c r="O81" s="3"/>
      <c r="P81" s="3"/>
      <c r="Q81" s="3"/>
    </row>
    <row r="82" spans="1:17">
      <c r="A82" s="489"/>
      <c r="B82" s="552" t="s">
        <v>306</v>
      </c>
      <c r="C82" s="552"/>
      <c r="D82" s="552"/>
      <c r="E82" s="490" t="s">
        <v>345</v>
      </c>
      <c r="F82" s="490"/>
      <c r="G82" s="490"/>
      <c r="H82" s="490"/>
      <c r="I82" s="490"/>
      <c r="J82" s="490"/>
      <c r="K82" s="490"/>
      <c r="L82" s="490"/>
      <c r="M82" s="3"/>
      <c r="N82" s="3"/>
      <c r="O82" s="3"/>
      <c r="P82" s="3"/>
      <c r="Q82" s="3"/>
    </row>
    <row r="83" spans="1:17">
      <c r="B83" s="3"/>
      <c r="C83" s="553"/>
      <c r="D83" s="55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>
      <c r="B84" s="3"/>
      <c r="C84" s="553"/>
      <c r="D84" s="55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>
      <c r="B85" s="3"/>
      <c r="C85" s="553"/>
      <c r="D85" s="55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>
      <c r="B86" s="3"/>
      <c r="C86" s="553"/>
      <c r="D86" s="55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>
      <c r="B87" s="3"/>
      <c r="C87" s="553"/>
      <c r="D87" s="55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B88" s="3"/>
      <c r="C88" s="553"/>
      <c r="D88" s="55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>
      <c r="B89" s="3"/>
      <c r="C89" s="553"/>
      <c r="D89" s="55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>
      <c r="B90" s="3"/>
      <c r="C90" s="553"/>
      <c r="D90" s="55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>
      <c r="B91" s="3"/>
      <c r="C91" s="553"/>
      <c r="D91" s="55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>
      <c r="B92" s="3"/>
      <c r="C92" s="553"/>
      <c r="D92" s="55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>
      <c r="B93" s="3"/>
      <c r="C93" s="553"/>
      <c r="D93" s="55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B94" s="3"/>
      <c r="C94" s="553"/>
      <c r="D94" s="55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>
      <c r="B95" s="3"/>
      <c r="C95" s="553"/>
      <c r="D95" s="55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>
      <c r="B96" s="3"/>
      <c r="C96" s="553"/>
      <c r="D96" s="55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>
      <c r="B97" s="3"/>
      <c r="C97" s="553"/>
      <c r="D97" s="55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>
      <c r="B98" s="3"/>
      <c r="C98" s="553"/>
      <c r="D98" s="55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>
      <c r="B99" s="3"/>
      <c r="C99" s="553"/>
      <c r="D99" s="55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>
      <c r="B100" s="3"/>
      <c r="C100" s="553"/>
      <c r="D100" s="5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>
      <c r="B101" s="3"/>
      <c r="C101" s="553"/>
      <c r="D101" s="55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>
      <c r="B102" s="3"/>
      <c r="C102" s="553"/>
      <c r="D102" s="55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>
      <c r="B103" s="3"/>
      <c r="C103" s="553"/>
      <c r="D103" s="55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>
      <c r="B104" s="3"/>
      <c r="C104" s="553"/>
      <c r="D104" s="55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>
      <c r="B105" s="3"/>
      <c r="C105" s="553"/>
      <c r="D105" s="55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>
      <c r="B106" s="3"/>
      <c r="C106" s="553"/>
      <c r="D106" s="55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2:17">
      <c r="B107" s="3"/>
      <c r="C107" s="553"/>
      <c r="D107" s="55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2:17">
      <c r="B108" s="3"/>
      <c r="C108" s="553"/>
      <c r="D108" s="55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2:17">
      <c r="B109" s="3"/>
      <c r="C109" s="553"/>
      <c r="D109" s="55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2:17">
      <c r="B110" s="3"/>
      <c r="C110" s="553"/>
      <c r="D110" s="55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2:17">
      <c r="B111" s="3"/>
      <c r="C111" s="553"/>
      <c r="D111" s="55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2:17">
      <c r="B112" s="3"/>
      <c r="C112" s="553"/>
      <c r="D112" s="55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2:17">
      <c r="B113" s="3"/>
      <c r="C113" s="553"/>
      <c r="D113" s="55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2:17">
      <c r="B114" s="3"/>
      <c r="C114" s="553"/>
      <c r="D114" s="55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2:17">
      <c r="B115" s="3"/>
      <c r="C115" s="553"/>
      <c r="D115" s="55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2:17">
      <c r="B116" s="3"/>
      <c r="C116" s="553"/>
      <c r="D116" s="55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2:17">
      <c r="B117" s="3"/>
      <c r="C117" s="553"/>
      <c r="D117" s="55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2:17">
      <c r="B118" s="3"/>
      <c r="C118" s="553"/>
      <c r="D118" s="55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2:17">
      <c r="B119" s="3"/>
      <c r="C119" s="553"/>
      <c r="D119" s="55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2:17">
      <c r="B120" s="3"/>
      <c r="C120" s="553"/>
      <c r="D120" s="55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2:17">
      <c r="B121" s="3"/>
      <c r="C121" s="553"/>
      <c r="D121" s="55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2:17">
      <c r="B122" s="3"/>
      <c r="C122" s="553"/>
      <c r="D122" s="55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2:17">
      <c r="B123" s="3"/>
      <c r="C123" s="553"/>
      <c r="D123" s="55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2:17">
      <c r="B124" s="3"/>
      <c r="C124" s="553"/>
      <c r="D124" s="55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2:17">
      <c r="B125" s="3"/>
      <c r="C125" s="553"/>
      <c r="D125" s="55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2:17">
      <c r="B126" s="3"/>
      <c r="C126" s="553"/>
      <c r="D126" s="55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2:17">
      <c r="B127" s="3"/>
      <c r="C127" s="553"/>
      <c r="D127" s="55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2:17">
      <c r="B128" s="3"/>
      <c r="C128" s="553"/>
      <c r="D128" s="55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2:17">
      <c r="B129" s="3"/>
      <c r="C129" s="553"/>
      <c r="D129" s="55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2:17">
      <c r="B130" s="3"/>
      <c r="C130" s="553"/>
      <c r="D130" s="55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2:17">
      <c r="B131" s="3"/>
      <c r="C131" s="553"/>
      <c r="D131" s="55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2:17">
      <c r="B132" s="3"/>
      <c r="C132" s="553"/>
      <c r="D132" s="55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2:17">
      <c r="B133" s="3"/>
      <c r="C133" s="553"/>
      <c r="D133" s="55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2:17">
      <c r="B134" s="3"/>
      <c r="C134" s="553"/>
      <c r="D134" s="55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2:17">
      <c r="B135" s="3"/>
      <c r="C135" s="553"/>
      <c r="D135" s="55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2:17">
      <c r="B136" s="3"/>
      <c r="C136" s="553"/>
      <c r="D136" s="55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2:17">
      <c r="B137" s="3"/>
      <c r="C137" s="553"/>
      <c r="D137" s="55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2:17">
      <c r="B138" s="3"/>
      <c r="C138" s="553"/>
      <c r="D138" s="55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2:17">
      <c r="B139" s="3"/>
      <c r="C139" s="553"/>
      <c r="D139" s="55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2:17">
      <c r="B140" s="3"/>
      <c r="C140" s="553"/>
      <c r="D140" s="55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2:17">
      <c r="B141" s="3"/>
      <c r="C141" s="553"/>
      <c r="D141" s="55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2:17">
      <c r="B142" s="3"/>
      <c r="C142" s="553"/>
      <c r="D142" s="55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2:17">
      <c r="B143" s="3"/>
      <c r="C143" s="553"/>
      <c r="D143" s="55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</sheetData>
  <pageMargins left="0.70866141732283472" right="0.70866141732283472" top="0.74803149606299213" bottom="0.74803149606299213" header="0.31496062992125984" footer="0.31496062992125984"/>
  <pageSetup paperSize="9" scale="3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AEE-9FEA-314C-9988-06F95BF893D6}">
  <sheetPr>
    <pageSetUpPr fitToPage="1"/>
  </sheetPr>
  <dimension ref="A1:AO55"/>
  <sheetViews>
    <sheetView workbookViewId="0">
      <selection activeCell="AE6" sqref="AE6:AG6"/>
    </sheetView>
  </sheetViews>
  <sheetFormatPr baseColWidth="10" defaultColWidth="8.83203125" defaultRowHeight="14"/>
  <cols>
    <col min="1" max="2" width="5.83203125" style="127" customWidth="1"/>
    <col min="3" max="3" width="10.1640625" style="127" customWidth="1"/>
    <col min="4" max="4" width="8.83203125" style="127" customWidth="1"/>
    <col min="5" max="5" width="12.83203125" style="138" customWidth="1"/>
    <col min="6" max="6" width="5.83203125" style="370" customWidth="1"/>
    <col min="7" max="7" width="5.83203125" style="371" customWidth="1"/>
    <col min="8" max="8" width="12.83203125" style="127" customWidth="1"/>
    <col min="9" max="10" width="5.83203125" style="372" customWidth="1"/>
    <col min="11" max="11" width="9.83203125" style="372" customWidth="1"/>
    <col min="12" max="12" width="5.83203125" style="370" customWidth="1"/>
    <col min="13" max="13" width="5.83203125" style="371" customWidth="1"/>
    <col min="14" max="14" width="9.6640625" style="127" customWidth="1"/>
    <col min="15" max="15" width="0.83203125" style="373" customWidth="1"/>
    <col min="16" max="16" width="8.6640625" style="372" customWidth="1"/>
    <col min="17" max="17" width="16.83203125" style="369" hidden="1" customWidth="1"/>
    <col min="18" max="18" width="0.83203125" style="373" customWidth="1"/>
    <col min="19" max="19" width="14.33203125" style="127" hidden="1" customWidth="1"/>
    <col min="20" max="20" width="14.6640625" style="127" hidden="1" customWidth="1"/>
    <col min="21" max="21" width="1.1640625" style="127" hidden="1" customWidth="1"/>
    <col min="22" max="22" width="15" style="127" hidden="1" customWidth="1"/>
    <col min="23" max="23" width="1.1640625" style="127" hidden="1" customWidth="1"/>
    <col min="24" max="24" width="0" style="127" hidden="1" customWidth="1"/>
    <col min="25" max="25" width="1.33203125" style="127" hidden="1" customWidth="1"/>
    <col min="26" max="26" width="12.1640625" style="127" hidden="1" customWidth="1"/>
    <col min="27" max="27" width="1.1640625" style="127" customWidth="1"/>
    <col min="28" max="28" width="11.5" style="127" customWidth="1"/>
    <col min="29" max="29" width="12.33203125" style="127" customWidth="1"/>
    <col min="30" max="35" width="12.1640625" style="127" customWidth="1"/>
    <col min="36" max="36" width="2.1640625" style="127" customWidth="1"/>
    <col min="37" max="38" width="12.1640625" style="127" customWidth="1"/>
    <col min="39" max="39" width="8.83203125" style="127"/>
    <col min="40" max="40" width="10.5" style="127" hidden="1" customWidth="1"/>
    <col min="41" max="41" width="16.83203125" style="127" hidden="1" customWidth="1"/>
    <col min="42" max="16384" width="8.83203125" style="127"/>
  </cols>
  <sheetData>
    <row r="1" spans="1:40" ht="32.25" customHeight="1" thickBot="1">
      <c r="A1" s="595" t="s">
        <v>200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6"/>
      <c r="M1" s="596"/>
      <c r="N1" s="596"/>
      <c r="O1" s="596"/>
      <c r="P1" s="596"/>
      <c r="R1" s="127"/>
      <c r="S1" s="660">
        <v>2019</v>
      </c>
      <c r="T1" s="660"/>
      <c r="U1" s="660"/>
      <c r="V1" s="660"/>
      <c r="W1" s="660"/>
      <c r="X1" s="660"/>
      <c r="Y1" s="660"/>
      <c r="Z1" s="660"/>
      <c r="AB1" s="659">
        <v>2020</v>
      </c>
      <c r="AC1" s="659"/>
      <c r="AD1" s="659"/>
      <c r="AE1" s="659"/>
      <c r="AF1" s="659"/>
      <c r="AG1" s="659"/>
      <c r="AH1" s="659"/>
      <c r="AI1" s="659"/>
    </row>
    <row r="2" spans="1:40" ht="15" customHeight="1">
      <c r="S2" s="602" t="s">
        <v>273</v>
      </c>
      <c r="T2" s="602"/>
      <c r="V2" s="374" t="s">
        <v>201</v>
      </c>
      <c r="Z2" s="374" t="s">
        <v>252</v>
      </c>
      <c r="AB2" s="656" t="s">
        <v>302</v>
      </c>
      <c r="AC2" s="657"/>
      <c r="AD2" s="657"/>
      <c r="AE2" s="657"/>
      <c r="AF2" s="657"/>
      <c r="AG2" s="657"/>
      <c r="AH2" s="657"/>
      <c r="AI2" s="658"/>
      <c r="AN2" s="374" t="s">
        <v>281</v>
      </c>
    </row>
    <row r="3" spans="1:40" s="153" customFormat="1" ht="15" thickBot="1">
      <c r="E3" s="375"/>
      <c r="F3" s="376"/>
      <c r="G3" s="377"/>
      <c r="I3" s="378"/>
      <c r="J3" s="378"/>
      <c r="K3" s="378"/>
      <c r="L3" s="376"/>
      <c r="M3" s="377"/>
      <c r="N3" s="379"/>
      <c r="O3" s="380"/>
      <c r="P3" s="378"/>
      <c r="Q3" s="381"/>
      <c r="R3" s="380"/>
      <c r="V3" s="382">
        <v>2019</v>
      </c>
      <c r="Z3" s="382" t="s">
        <v>253</v>
      </c>
      <c r="AB3" s="530">
        <v>1</v>
      </c>
      <c r="AC3" s="531">
        <v>4</v>
      </c>
      <c r="AD3" s="531">
        <v>5</v>
      </c>
      <c r="AE3" s="532" t="s">
        <v>349</v>
      </c>
      <c r="AF3" s="531">
        <v>7</v>
      </c>
      <c r="AG3" s="531">
        <v>6</v>
      </c>
      <c r="AH3" s="532"/>
      <c r="AI3" s="533"/>
      <c r="AJ3" s="375"/>
      <c r="AK3" s="497" t="s">
        <v>272</v>
      </c>
      <c r="AL3" s="497" t="s">
        <v>265</v>
      </c>
      <c r="AN3" s="382" t="s">
        <v>160</v>
      </c>
    </row>
    <row r="4" spans="1:40" s="153" customFormat="1" ht="15" thickBot="1">
      <c r="A4" s="597" t="s">
        <v>202</v>
      </c>
      <c r="B4" s="598"/>
      <c r="C4" s="599"/>
      <c r="D4" s="599"/>
      <c r="E4" s="599"/>
      <c r="F4" s="597" t="s">
        <v>203</v>
      </c>
      <c r="G4" s="599"/>
      <c r="H4" s="599"/>
      <c r="I4" s="597" t="s">
        <v>204</v>
      </c>
      <c r="J4" s="599"/>
      <c r="K4" s="599"/>
      <c r="L4" s="600" t="s">
        <v>205</v>
      </c>
      <c r="M4" s="601"/>
      <c r="N4" s="601"/>
      <c r="O4" s="456"/>
      <c r="P4" s="383" t="s">
        <v>206</v>
      </c>
      <c r="Q4" s="384" t="s">
        <v>207</v>
      </c>
      <c r="R4" s="456"/>
      <c r="S4" s="385" t="s">
        <v>162</v>
      </c>
      <c r="T4" s="385" t="s">
        <v>208</v>
      </c>
      <c r="U4" s="454"/>
      <c r="V4" s="455" t="s">
        <v>206</v>
      </c>
      <c r="X4" s="449" t="s">
        <v>145</v>
      </c>
      <c r="Z4" s="455" t="s">
        <v>254</v>
      </c>
      <c r="AB4" s="534">
        <v>2020</v>
      </c>
      <c r="AC4" s="532">
        <v>2020</v>
      </c>
      <c r="AD4" s="532">
        <v>2020</v>
      </c>
      <c r="AE4" s="532" t="s">
        <v>206</v>
      </c>
      <c r="AF4" s="532">
        <v>2020</v>
      </c>
      <c r="AG4" s="532">
        <v>2020</v>
      </c>
      <c r="AH4" s="532" t="s">
        <v>206</v>
      </c>
      <c r="AI4" s="535"/>
      <c r="AJ4" s="450"/>
      <c r="AK4" s="498"/>
      <c r="AL4" s="498"/>
      <c r="AN4" s="455" t="s">
        <v>253</v>
      </c>
    </row>
    <row r="5" spans="1:40" ht="15" thickBot="1">
      <c r="A5" s="386" t="s">
        <v>146</v>
      </c>
      <c r="B5" s="387" t="s">
        <v>148</v>
      </c>
      <c r="C5" s="387" t="s">
        <v>147</v>
      </c>
      <c r="D5" s="387" t="s">
        <v>209</v>
      </c>
      <c r="E5" s="388" t="s">
        <v>149</v>
      </c>
      <c r="F5" s="389" t="s">
        <v>146</v>
      </c>
      <c r="G5" s="390" t="s">
        <v>147</v>
      </c>
      <c r="H5" s="391" t="s">
        <v>149</v>
      </c>
      <c r="I5" s="389" t="s">
        <v>146</v>
      </c>
      <c r="J5" s="390" t="s">
        <v>147</v>
      </c>
      <c r="K5" s="391" t="s">
        <v>149</v>
      </c>
      <c r="L5" s="389" t="s">
        <v>146</v>
      </c>
      <c r="M5" s="390" t="s">
        <v>147</v>
      </c>
      <c r="N5" s="392" t="s">
        <v>149</v>
      </c>
      <c r="O5" s="457"/>
      <c r="P5" s="393" t="s">
        <v>149</v>
      </c>
      <c r="Q5" s="394" t="s">
        <v>210</v>
      </c>
      <c r="R5" s="457"/>
      <c r="S5" s="395" t="s">
        <v>210</v>
      </c>
      <c r="T5" s="395" t="s">
        <v>211</v>
      </c>
      <c r="V5" s="396" t="s">
        <v>212</v>
      </c>
      <c r="X5" s="134" t="s">
        <v>251</v>
      </c>
      <c r="Z5" s="396" t="s">
        <v>279</v>
      </c>
      <c r="AB5" s="536" t="s">
        <v>297</v>
      </c>
      <c r="AC5" s="522" t="s">
        <v>255</v>
      </c>
      <c r="AD5" s="522" t="s">
        <v>283</v>
      </c>
      <c r="AE5" s="522">
        <v>2020</v>
      </c>
      <c r="AF5" s="522" t="s">
        <v>145</v>
      </c>
      <c r="AG5" s="522" t="s">
        <v>279</v>
      </c>
      <c r="AH5" s="522" t="s">
        <v>348</v>
      </c>
      <c r="AI5" s="538"/>
      <c r="AJ5" s="525"/>
      <c r="AK5" s="499"/>
      <c r="AL5" s="500"/>
      <c r="AN5" s="450">
        <v>2019</v>
      </c>
    </row>
    <row r="6" spans="1:40" ht="15">
      <c r="A6" s="397">
        <v>2</v>
      </c>
      <c r="B6" s="398" t="s">
        <v>154</v>
      </c>
      <c r="C6" s="399">
        <v>103</v>
      </c>
      <c r="D6" s="399">
        <v>3</v>
      </c>
      <c r="E6" s="400">
        <f>(C6*$C$44)/100</f>
        <v>2.545095132196689E-2</v>
      </c>
      <c r="F6" s="401" t="s">
        <v>213</v>
      </c>
      <c r="G6" s="402">
        <v>6</v>
      </c>
      <c r="H6" s="400">
        <f>(G6*$C$44)/100</f>
        <v>1.4825796886582653E-3</v>
      </c>
      <c r="I6" s="401" t="s">
        <v>214</v>
      </c>
      <c r="J6" s="402">
        <v>6</v>
      </c>
      <c r="K6" s="400">
        <f>(J6*$C$44)/100</f>
        <v>1.4825796886582653E-3</v>
      </c>
      <c r="L6" s="403"/>
      <c r="M6" s="404"/>
      <c r="N6" s="405"/>
      <c r="O6" s="456"/>
      <c r="P6" s="406">
        <f t="shared" ref="P6:P39" si="0">(E6+H6+N6+K6)</f>
        <v>2.8416110699283424E-2</v>
      </c>
      <c r="Q6" s="407">
        <f>P6*$Q$44</f>
        <v>2259.1538299975296</v>
      </c>
      <c r="R6" s="456"/>
      <c r="S6" s="408">
        <f>P6*$S$44</f>
        <v>2485.0692129972826</v>
      </c>
      <c r="T6" s="408">
        <f>P6*$T$44</f>
        <v>1002.0844823325923</v>
      </c>
      <c r="V6" s="408">
        <f>SUM(S6:U6)</f>
        <v>3487.1536953298751</v>
      </c>
      <c r="X6" s="460">
        <f>MIN(40,MAX(0,0.02*(V6-500)))</f>
        <v>40</v>
      </c>
      <c r="Z6" s="408"/>
      <c r="AB6" s="539">
        <f>P6*$AB$45</f>
        <v>1894.4073799522284</v>
      </c>
      <c r="AC6" s="540">
        <f>$AC$45*P6</f>
        <v>1129.8503490239686</v>
      </c>
      <c r="AD6" s="540">
        <f>$AD$45*P6</f>
        <v>1749.812237459847</v>
      </c>
      <c r="AE6" s="540">
        <f>SUM(AB6:AD6)</f>
        <v>4774.0699664360436</v>
      </c>
      <c r="AF6" s="540">
        <f>MIN(40,MAX(0,0.02*(AE6-500)))</f>
        <v>40</v>
      </c>
      <c r="AG6" s="540"/>
      <c r="AH6" s="540">
        <f>AE6+AF6+AG6</f>
        <v>4814.0699664360436</v>
      </c>
      <c r="AI6" s="541"/>
      <c r="AK6" s="500">
        <f t="shared" ref="AK6:AK10" si="1">Q6+T6+X6+Z6</f>
        <v>3301.238312330122</v>
      </c>
      <c r="AL6" s="500">
        <f t="shared" ref="AL6:AL39" si="2">V6+X6+Z6</f>
        <v>3527.1536953298751</v>
      </c>
      <c r="AN6" s="527"/>
    </row>
    <row r="7" spans="1:40" ht="15">
      <c r="A7" s="409">
        <v>3</v>
      </c>
      <c r="B7" s="410" t="s">
        <v>155</v>
      </c>
      <c r="C7" s="411">
        <v>137</v>
      </c>
      <c r="D7" s="411">
        <v>2</v>
      </c>
      <c r="E7" s="400">
        <f t="shared" ref="E7:E39" si="3">(C7*$C$44)/100</f>
        <v>3.3852236224363723E-2</v>
      </c>
      <c r="F7" s="412" t="s">
        <v>215</v>
      </c>
      <c r="G7" s="413">
        <v>6</v>
      </c>
      <c r="H7" s="400">
        <f t="shared" ref="H7:H8" si="4">(G7*$C$44)/100</f>
        <v>1.4825796886582653E-3</v>
      </c>
      <c r="I7" s="403"/>
      <c r="J7" s="404"/>
      <c r="K7" s="405"/>
      <c r="L7" s="403"/>
      <c r="M7" s="404"/>
      <c r="N7" s="405"/>
      <c r="O7" s="456"/>
      <c r="P7" s="406">
        <f t="shared" si="0"/>
        <v>3.533481591302199E-2</v>
      </c>
      <c r="Q7" s="407">
        <f t="shared" ref="Q7:Q41" si="5">P7*$Q$44</f>
        <v>2809.2086755621449</v>
      </c>
      <c r="R7" s="456"/>
      <c r="S7" s="408">
        <f t="shared" ref="S7:S41" si="6">P7*$S$44</f>
        <v>3090.1295431183598</v>
      </c>
      <c r="T7" s="408">
        <f t="shared" ref="T7:T41" si="7">P7*$T$44</f>
        <v>1246.0702693353101</v>
      </c>
      <c r="V7" s="408">
        <f t="shared" ref="V7:V41" si="8">SUM(S7:U7)</f>
        <v>4336.1998124536694</v>
      </c>
      <c r="X7" s="460">
        <f t="shared" ref="X7:X39" si="9">MIN(40,MAX(0,0.02*(V7-500)))</f>
        <v>40</v>
      </c>
      <c r="Z7" s="408"/>
      <c r="AB7" s="539">
        <f t="shared" ref="AB7:AB41" si="10">P7*$AB$45</f>
        <v>2355.6543942014659</v>
      </c>
      <c r="AC7" s="540">
        <f t="shared" ref="AC7:AC41" si="11">$AC$45*P7</f>
        <v>1404.9443470471954</v>
      </c>
      <c r="AD7" s="540">
        <f t="shared" ref="AD7:AD41" si="12">$AD$45*P7</f>
        <v>2175.8534778848525</v>
      </c>
      <c r="AE7" s="540">
        <f t="shared" ref="AE7:AE41" si="13">SUM(AB7:AD7)</f>
        <v>5936.4522191335136</v>
      </c>
      <c r="AF7" s="540">
        <f t="shared" ref="AF7:AF39" si="14">MIN(40,MAX(0,0.02*(AE7-500)))</f>
        <v>40</v>
      </c>
      <c r="AG7" s="537"/>
      <c r="AH7" s="540">
        <f t="shared" ref="AH7:AH39" si="15">AE7+AF7+AG7</f>
        <v>5976.4522191335136</v>
      </c>
      <c r="AI7" s="541"/>
      <c r="AK7" s="500">
        <f t="shared" si="1"/>
        <v>4095.2789448974549</v>
      </c>
      <c r="AL7" s="500">
        <f t="shared" si="2"/>
        <v>4376.1998124536694</v>
      </c>
      <c r="AN7" s="408"/>
    </row>
    <row r="8" spans="1:40" ht="15">
      <c r="A8" s="409">
        <v>4</v>
      </c>
      <c r="B8" s="410" t="s">
        <v>156</v>
      </c>
      <c r="C8" s="411">
        <v>125</v>
      </c>
      <c r="D8" s="411">
        <v>2</v>
      </c>
      <c r="E8" s="400">
        <f t="shared" si="3"/>
        <v>3.0887076847047196E-2</v>
      </c>
      <c r="F8" s="412" t="s">
        <v>216</v>
      </c>
      <c r="G8" s="413">
        <v>6</v>
      </c>
      <c r="H8" s="400">
        <f t="shared" si="4"/>
        <v>1.4825796886582653E-3</v>
      </c>
      <c r="I8" s="403"/>
      <c r="J8" s="404"/>
      <c r="K8" s="405"/>
      <c r="L8" s="403"/>
      <c r="M8" s="404"/>
      <c r="N8" s="405"/>
      <c r="O8" s="456"/>
      <c r="P8" s="406">
        <f t="shared" si="0"/>
        <v>3.2369656535705463E-2</v>
      </c>
      <c r="Q8" s="407">
        <f t="shared" si="5"/>
        <v>2573.4708846058811</v>
      </c>
      <c r="R8" s="456"/>
      <c r="S8" s="408">
        <f t="shared" si="6"/>
        <v>2830.8179730664697</v>
      </c>
      <c r="T8" s="408">
        <f t="shared" si="7"/>
        <v>1141.5049320484311</v>
      </c>
      <c r="V8" s="408">
        <f t="shared" si="8"/>
        <v>3972.322905114901</v>
      </c>
      <c r="X8" s="460">
        <f t="shared" si="9"/>
        <v>40</v>
      </c>
      <c r="Z8" s="408"/>
      <c r="AB8" s="539">
        <f t="shared" si="10"/>
        <v>2157.9771023803642</v>
      </c>
      <c r="AC8" s="540">
        <f t="shared" si="11"/>
        <v>1287.0469193229553</v>
      </c>
      <c r="AD8" s="540">
        <f t="shared" si="12"/>
        <v>1993.2643748455646</v>
      </c>
      <c r="AE8" s="540">
        <f t="shared" si="13"/>
        <v>5438.2883965488845</v>
      </c>
      <c r="AF8" s="540">
        <f t="shared" si="14"/>
        <v>40</v>
      </c>
      <c r="AG8" s="537"/>
      <c r="AH8" s="540">
        <f t="shared" si="15"/>
        <v>5478.2883965488845</v>
      </c>
      <c r="AI8" s="541"/>
      <c r="AK8" s="500">
        <f t="shared" si="1"/>
        <v>3754.9758166543124</v>
      </c>
      <c r="AL8" s="500">
        <f t="shared" si="2"/>
        <v>4012.322905114901</v>
      </c>
      <c r="AN8" s="408"/>
    </row>
    <row r="9" spans="1:40" ht="15">
      <c r="A9" s="409">
        <v>5</v>
      </c>
      <c r="B9" s="410" t="s">
        <v>157</v>
      </c>
      <c r="C9" s="411">
        <v>48</v>
      </c>
      <c r="D9" s="411">
        <v>1</v>
      </c>
      <c r="E9" s="400">
        <f t="shared" si="3"/>
        <v>1.1860637509266123E-2</v>
      </c>
      <c r="F9" s="403"/>
      <c r="G9" s="404"/>
      <c r="H9" s="405"/>
      <c r="I9" s="403"/>
      <c r="J9" s="404"/>
      <c r="K9" s="405"/>
      <c r="L9" s="403"/>
      <c r="M9" s="404"/>
      <c r="N9" s="405"/>
      <c r="O9" s="456"/>
      <c r="P9" s="406">
        <f t="shared" si="0"/>
        <v>1.1860637509266123E-2</v>
      </c>
      <c r="Q9" s="407">
        <f t="shared" si="5"/>
        <v>942.95116382505569</v>
      </c>
      <c r="R9" s="456"/>
      <c r="S9" s="408">
        <f t="shared" si="6"/>
        <v>1037.2462802075613</v>
      </c>
      <c r="T9" s="408">
        <f t="shared" si="7"/>
        <v>418.26134914751668</v>
      </c>
      <c r="V9" s="408">
        <f t="shared" si="8"/>
        <v>1455.5076293550781</v>
      </c>
      <c r="X9" s="460">
        <f t="shared" si="9"/>
        <v>19.110152587101563</v>
      </c>
      <c r="Z9" s="408"/>
      <c r="AB9" s="539">
        <f t="shared" si="10"/>
        <v>790.70916728440818</v>
      </c>
      <c r="AC9" s="540">
        <f t="shared" si="11"/>
        <v>471.5897108969607</v>
      </c>
      <c r="AD9" s="540">
        <f t="shared" si="12"/>
        <v>730.35641215715339</v>
      </c>
      <c r="AE9" s="540">
        <f t="shared" si="13"/>
        <v>1992.6552903385223</v>
      </c>
      <c r="AF9" s="540">
        <f t="shared" si="14"/>
        <v>29.853105806770447</v>
      </c>
      <c r="AG9" s="537"/>
      <c r="AH9" s="540">
        <f t="shared" si="15"/>
        <v>2022.5083961452926</v>
      </c>
      <c r="AI9" s="541"/>
      <c r="AK9" s="500">
        <f t="shared" si="1"/>
        <v>1380.3226655596739</v>
      </c>
      <c r="AL9" s="500">
        <f t="shared" si="2"/>
        <v>1474.6177819421796</v>
      </c>
      <c r="AN9" s="408"/>
    </row>
    <row r="10" spans="1:40" ht="15">
      <c r="A10" s="409">
        <v>6</v>
      </c>
      <c r="B10" s="411">
        <v>101</v>
      </c>
      <c r="C10" s="411">
        <v>137</v>
      </c>
      <c r="D10" s="411">
        <v>1</v>
      </c>
      <c r="E10" s="400">
        <f t="shared" si="3"/>
        <v>3.3852236224363723E-2</v>
      </c>
      <c r="F10" s="403"/>
      <c r="G10" s="404"/>
      <c r="H10" s="405"/>
      <c r="I10" s="403"/>
      <c r="J10" s="404"/>
      <c r="K10" s="405"/>
      <c r="L10" s="403"/>
      <c r="M10" s="404"/>
      <c r="N10" s="405"/>
      <c r="O10" s="456"/>
      <c r="P10" s="406">
        <f t="shared" si="0"/>
        <v>3.3852236224363723E-2</v>
      </c>
      <c r="Q10" s="407">
        <f t="shared" si="5"/>
        <v>2691.339780084013</v>
      </c>
      <c r="R10" s="456"/>
      <c r="S10" s="408">
        <f t="shared" si="6"/>
        <v>2960.4737580924143</v>
      </c>
      <c r="T10" s="408">
        <f t="shared" si="7"/>
        <v>1193.7876006918705</v>
      </c>
      <c r="V10" s="408">
        <f t="shared" si="8"/>
        <v>4154.2613587842843</v>
      </c>
      <c r="X10" s="460">
        <f t="shared" si="9"/>
        <v>40</v>
      </c>
      <c r="Z10" s="408"/>
      <c r="AB10" s="539">
        <f t="shared" si="10"/>
        <v>2256.8157482909151</v>
      </c>
      <c r="AC10" s="540">
        <f t="shared" si="11"/>
        <v>1345.9956331850753</v>
      </c>
      <c r="AD10" s="540">
        <f t="shared" si="12"/>
        <v>2084.5589263652087</v>
      </c>
      <c r="AE10" s="540">
        <f t="shared" si="13"/>
        <v>5687.3703078411991</v>
      </c>
      <c r="AF10" s="540">
        <f t="shared" si="14"/>
        <v>40</v>
      </c>
      <c r="AG10" s="537"/>
      <c r="AH10" s="540">
        <f t="shared" si="15"/>
        <v>5727.3703078411991</v>
      </c>
      <c r="AI10" s="541"/>
      <c r="AK10" s="500">
        <f t="shared" si="1"/>
        <v>3925.1273807758835</v>
      </c>
      <c r="AL10" s="500">
        <f t="shared" si="2"/>
        <v>4194.2613587842843</v>
      </c>
      <c r="AN10" s="408"/>
    </row>
    <row r="11" spans="1:40" ht="15">
      <c r="A11" s="409">
        <v>7</v>
      </c>
      <c r="B11" s="414">
        <v>102</v>
      </c>
      <c r="C11" s="414">
        <v>109</v>
      </c>
      <c r="D11" s="414">
        <v>2</v>
      </c>
      <c r="E11" s="400">
        <f t="shared" si="3"/>
        <v>2.6933531010625154E-2</v>
      </c>
      <c r="F11" s="412" t="s">
        <v>217</v>
      </c>
      <c r="G11" s="413">
        <v>6</v>
      </c>
      <c r="H11" s="400">
        <f t="shared" ref="H11:H19" si="16">(G11*$C$44)/100</f>
        <v>1.4825796886582653E-3</v>
      </c>
      <c r="I11" s="403"/>
      <c r="J11" s="404"/>
      <c r="K11" s="405"/>
      <c r="L11" s="403"/>
      <c r="M11" s="404"/>
      <c r="N11" s="405"/>
      <c r="O11" s="456"/>
      <c r="P11" s="406">
        <f t="shared" si="0"/>
        <v>2.8416110699283417E-2</v>
      </c>
      <c r="Q11" s="407">
        <f t="shared" si="5"/>
        <v>2259.1538299975291</v>
      </c>
      <c r="R11" s="456"/>
      <c r="S11" s="408">
        <f t="shared" si="6"/>
        <v>2485.0692129972822</v>
      </c>
      <c r="T11" s="408">
        <f t="shared" si="7"/>
        <v>1002.0844823325921</v>
      </c>
      <c r="V11" s="408">
        <f t="shared" si="8"/>
        <v>3487.1536953298742</v>
      </c>
      <c r="X11" s="460">
        <f t="shared" si="9"/>
        <v>40</v>
      </c>
      <c r="Z11" s="408">
        <v>154</v>
      </c>
      <c r="AB11" s="539">
        <f t="shared" si="10"/>
        <v>1894.407379952228</v>
      </c>
      <c r="AC11" s="540">
        <f t="shared" si="11"/>
        <v>1129.8503490239682</v>
      </c>
      <c r="AD11" s="540">
        <f t="shared" si="12"/>
        <v>1749.8122374598465</v>
      </c>
      <c r="AE11" s="540">
        <f t="shared" si="13"/>
        <v>4774.0699664360427</v>
      </c>
      <c r="AF11" s="540">
        <f t="shared" si="14"/>
        <v>40</v>
      </c>
      <c r="AG11" s="540">
        <f>Z11*1.1</f>
        <v>169.4</v>
      </c>
      <c r="AH11" s="540">
        <f t="shared" si="15"/>
        <v>4983.4699664360423</v>
      </c>
      <c r="AI11" s="541"/>
      <c r="AK11" s="500">
        <f>Q11+T11+X11+Z11</f>
        <v>3455.2383123301211</v>
      </c>
      <c r="AL11" s="500">
        <f t="shared" si="2"/>
        <v>3681.1536953298742</v>
      </c>
      <c r="AN11" s="408"/>
    </row>
    <row r="12" spans="1:40" ht="15">
      <c r="A12" s="409">
        <v>8</v>
      </c>
      <c r="B12" s="414">
        <v>103</v>
      </c>
      <c r="C12" s="414">
        <v>155</v>
      </c>
      <c r="D12" s="414">
        <v>1</v>
      </c>
      <c r="E12" s="400">
        <f t="shared" si="3"/>
        <v>3.8299975290338524E-2</v>
      </c>
      <c r="F12" s="412" t="s">
        <v>235</v>
      </c>
      <c r="G12" s="413">
        <v>6</v>
      </c>
      <c r="H12" s="400">
        <f t="shared" si="16"/>
        <v>1.4825796886582653E-3</v>
      </c>
      <c r="I12" s="403"/>
      <c r="J12" s="404"/>
      <c r="K12" s="405"/>
      <c r="L12" s="403"/>
      <c r="M12" s="404"/>
      <c r="N12" s="405"/>
      <c r="O12" s="456"/>
      <c r="P12" s="406">
        <f t="shared" si="0"/>
        <v>3.9782554978996791E-2</v>
      </c>
      <c r="Q12" s="407">
        <f t="shared" si="5"/>
        <v>3162.815361996541</v>
      </c>
      <c r="R12" s="456"/>
      <c r="S12" s="408">
        <f t="shared" si="6"/>
        <v>3479.096898196196</v>
      </c>
      <c r="T12" s="408">
        <f t="shared" si="7"/>
        <v>1402.9182752656291</v>
      </c>
      <c r="V12" s="408">
        <f t="shared" si="8"/>
        <v>4882.0151734618248</v>
      </c>
      <c r="X12" s="460">
        <f t="shared" si="9"/>
        <v>40</v>
      </c>
      <c r="Z12" s="408"/>
      <c r="AB12" s="539">
        <f t="shared" si="10"/>
        <v>2652.1703319331195</v>
      </c>
      <c r="AC12" s="540">
        <f t="shared" si="11"/>
        <v>1581.7904886335559</v>
      </c>
      <c r="AD12" s="540">
        <f t="shared" si="12"/>
        <v>2449.7371324437854</v>
      </c>
      <c r="AE12" s="540">
        <f t="shared" si="13"/>
        <v>6683.6979530104609</v>
      </c>
      <c r="AF12" s="540">
        <f t="shared" si="14"/>
        <v>40</v>
      </c>
      <c r="AG12" s="537"/>
      <c r="AH12" s="540">
        <f t="shared" si="15"/>
        <v>6723.6979530104609</v>
      </c>
      <c r="AI12" s="541"/>
      <c r="AK12" s="500">
        <f t="shared" ref="AK12:AK39" si="17">Q12+T12+X12+Z12</f>
        <v>4605.7336372621703</v>
      </c>
      <c r="AL12" s="500">
        <f t="shared" si="2"/>
        <v>4922.0151734618248</v>
      </c>
      <c r="AN12" s="408"/>
    </row>
    <row r="13" spans="1:40" ht="15">
      <c r="A13" s="409">
        <v>9</v>
      </c>
      <c r="B13" s="414">
        <v>104</v>
      </c>
      <c r="C13" s="414">
        <v>141</v>
      </c>
      <c r="D13" s="414">
        <v>2</v>
      </c>
      <c r="E13" s="400">
        <f t="shared" si="3"/>
        <v>3.4840622683469234E-2</v>
      </c>
      <c r="F13" s="412" t="s">
        <v>218</v>
      </c>
      <c r="G13" s="413">
        <v>6</v>
      </c>
      <c r="H13" s="400">
        <f t="shared" si="16"/>
        <v>1.4825796886582653E-3</v>
      </c>
      <c r="I13" s="403"/>
      <c r="J13" s="404"/>
      <c r="K13" s="405"/>
      <c r="L13" s="403"/>
      <c r="M13" s="404"/>
      <c r="N13" s="405"/>
      <c r="O13" s="456"/>
      <c r="P13" s="406">
        <f t="shared" si="0"/>
        <v>3.6323202372127501E-2</v>
      </c>
      <c r="Q13" s="407">
        <f t="shared" si="5"/>
        <v>2887.7879392142331</v>
      </c>
      <c r="R13" s="456"/>
      <c r="S13" s="408">
        <f t="shared" si="6"/>
        <v>3176.5667331356567</v>
      </c>
      <c r="T13" s="408">
        <f t="shared" si="7"/>
        <v>1280.92538176427</v>
      </c>
      <c r="V13" s="408">
        <f t="shared" si="8"/>
        <v>4457.4921148999265</v>
      </c>
      <c r="X13" s="460">
        <f t="shared" si="9"/>
        <v>40</v>
      </c>
      <c r="Z13" s="408"/>
      <c r="AB13" s="539">
        <f t="shared" si="10"/>
        <v>2421.5468248085003</v>
      </c>
      <c r="AC13" s="540">
        <f t="shared" si="11"/>
        <v>1444.2434896219422</v>
      </c>
      <c r="AD13" s="540">
        <f t="shared" si="12"/>
        <v>2236.7165122312822</v>
      </c>
      <c r="AE13" s="540">
        <f t="shared" si="13"/>
        <v>6102.5068266617254</v>
      </c>
      <c r="AF13" s="540">
        <f t="shared" si="14"/>
        <v>40</v>
      </c>
      <c r="AG13" s="537"/>
      <c r="AH13" s="540">
        <f t="shared" si="15"/>
        <v>6142.5068266617254</v>
      </c>
      <c r="AI13" s="541"/>
      <c r="AK13" s="500">
        <f t="shared" si="17"/>
        <v>4208.7133209785034</v>
      </c>
      <c r="AL13" s="500">
        <f t="shared" si="2"/>
        <v>4497.4921148999265</v>
      </c>
      <c r="AN13" s="408"/>
    </row>
    <row r="14" spans="1:40" ht="15">
      <c r="A14" s="409">
        <v>10</v>
      </c>
      <c r="B14" s="414">
        <v>105</v>
      </c>
      <c r="C14" s="414">
        <v>58</v>
      </c>
      <c r="D14" s="414">
        <v>2</v>
      </c>
      <c r="E14" s="400">
        <f t="shared" si="3"/>
        <v>1.4331603657029899E-2</v>
      </c>
      <c r="F14" s="412" t="s">
        <v>219</v>
      </c>
      <c r="G14" s="413">
        <v>6</v>
      </c>
      <c r="H14" s="400">
        <f t="shared" si="16"/>
        <v>1.4825796886582653E-3</v>
      </c>
      <c r="I14" s="403"/>
      <c r="J14" s="404"/>
      <c r="K14" s="405"/>
      <c r="L14" s="403"/>
      <c r="M14" s="404"/>
      <c r="N14" s="405"/>
      <c r="O14" s="456"/>
      <c r="P14" s="406">
        <f t="shared" si="0"/>
        <v>1.5814183345688165E-2</v>
      </c>
      <c r="Q14" s="407">
        <f t="shared" si="5"/>
        <v>1257.2682184334076</v>
      </c>
      <c r="R14" s="456"/>
      <c r="S14" s="408">
        <f t="shared" si="6"/>
        <v>1382.9950402767486</v>
      </c>
      <c r="T14" s="408">
        <f t="shared" si="7"/>
        <v>557.68179886335565</v>
      </c>
      <c r="V14" s="408">
        <f t="shared" si="8"/>
        <v>1940.6768391401042</v>
      </c>
      <c r="X14" s="460">
        <f t="shared" si="9"/>
        <v>28.813536782802085</v>
      </c>
      <c r="Z14" s="408"/>
      <c r="AB14" s="539">
        <f t="shared" si="10"/>
        <v>1054.2788897125445</v>
      </c>
      <c r="AC14" s="540">
        <f t="shared" si="11"/>
        <v>628.78628119594771</v>
      </c>
      <c r="AD14" s="540">
        <f t="shared" si="12"/>
        <v>973.80854954287122</v>
      </c>
      <c r="AE14" s="540">
        <f t="shared" si="13"/>
        <v>2656.8737204513636</v>
      </c>
      <c r="AF14" s="540">
        <f t="shared" si="14"/>
        <v>40</v>
      </c>
      <c r="AG14" s="537"/>
      <c r="AH14" s="540">
        <f t="shared" si="15"/>
        <v>2696.8737204513636</v>
      </c>
      <c r="AI14" s="541"/>
      <c r="AK14" s="500">
        <f t="shared" si="17"/>
        <v>1843.7635540795652</v>
      </c>
      <c r="AL14" s="500">
        <f t="shared" si="2"/>
        <v>1969.4903759229062</v>
      </c>
      <c r="AN14" s="408"/>
    </row>
    <row r="15" spans="1:40" ht="15">
      <c r="A15" s="409">
        <v>11</v>
      </c>
      <c r="B15" s="414">
        <v>106</v>
      </c>
      <c r="C15" s="414">
        <v>57</v>
      </c>
      <c r="D15" s="414">
        <v>2</v>
      </c>
      <c r="E15" s="400">
        <f t="shared" si="3"/>
        <v>1.408450704225352E-2</v>
      </c>
      <c r="F15" s="412" t="s">
        <v>220</v>
      </c>
      <c r="G15" s="413">
        <v>6</v>
      </c>
      <c r="H15" s="400">
        <f t="shared" si="16"/>
        <v>1.4825796886582653E-3</v>
      </c>
      <c r="I15" s="403"/>
      <c r="J15" s="404"/>
      <c r="K15" s="405"/>
      <c r="L15" s="403"/>
      <c r="M15" s="404"/>
      <c r="N15" s="405"/>
      <c r="O15" s="456"/>
      <c r="P15" s="406">
        <f t="shared" si="0"/>
        <v>1.5567086730911785E-2</v>
      </c>
      <c r="Q15" s="407">
        <f t="shared" si="5"/>
        <v>1237.6234025203855</v>
      </c>
      <c r="R15" s="456"/>
      <c r="S15" s="408">
        <f t="shared" si="6"/>
        <v>1361.3857427724242</v>
      </c>
      <c r="T15" s="408">
        <f t="shared" si="7"/>
        <v>548.96802075611561</v>
      </c>
      <c r="V15" s="408">
        <f t="shared" si="8"/>
        <v>1910.3537635285397</v>
      </c>
      <c r="X15" s="460">
        <f t="shared" si="9"/>
        <v>28.207075270570794</v>
      </c>
      <c r="Z15" s="408"/>
      <c r="AB15" s="539">
        <f t="shared" si="10"/>
        <v>1037.8057820607858</v>
      </c>
      <c r="AC15" s="540">
        <f t="shared" si="11"/>
        <v>618.96149555226089</v>
      </c>
      <c r="AD15" s="540">
        <f t="shared" si="12"/>
        <v>958.59279095626368</v>
      </c>
      <c r="AE15" s="540">
        <f t="shared" si="13"/>
        <v>2615.3600685693104</v>
      </c>
      <c r="AF15" s="540">
        <f t="shared" si="14"/>
        <v>40</v>
      </c>
      <c r="AG15" s="537"/>
      <c r="AH15" s="540">
        <f t="shared" si="15"/>
        <v>2655.3600685693104</v>
      </c>
      <c r="AI15" s="541"/>
      <c r="AK15" s="500">
        <f t="shared" si="17"/>
        <v>1814.7984985470721</v>
      </c>
      <c r="AL15" s="500">
        <f t="shared" si="2"/>
        <v>1938.5608387991106</v>
      </c>
      <c r="AN15" s="408"/>
    </row>
    <row r="16" spans="1:40" ht="15">
      <c r="A16" s="409">
        <v>12</v>
      </c>
      <c r="B16" s="414">
        <v>201</v>
      </c>
      <c r="C16" s="414">
        <v>137</v>
      </c>
      <c r="D16" s="414">
        <v>2</v>
      </c>
      <c r="E16" s="400">
        <f t="shared" si="3"/>
        <v>3.3852236224363723E-2</v>
      </c>
      <c r="F16" s="412" t="s">
        <v>221</v>
      </c>
      <c r="G16" s="413">
        <v>6</v>
      </c>
      <c r="H16" s="400">
        <f t="shared" si="16"/>
        <v>1.4825796886582653E-3</v>
      </c>
      <c r="I16" s="403"/>
      <c r="J16" s="404"/>
      <c r="K16" s="405"/>
      <c r="L16" s="403"/>
      <c r="M16" s="404"/>
      <c r="N16" s="405"/>
      <c r="O16" s="456"/>
      <c r="P16" s="406">
        <f t="shared" si="0"/>
        <v>3.533481591302199E-2</v>
      </c>
      <c r="Q16" s="407">
        <f t="shared" si="5"/>
        <v>2809.2086755621449</v>
      </c>
      <c r="R16" s="456"/>
      <c r="S16" s="408">
        <f t="shared" si="6"/>
        <v>3090.1295431183598</v>
      </c>
      <c r="T16" s="408">
        <f t="shared" si="7"/>
        <v>1246.0702693353101</v>
      </c>
      <c r="V16" s="408">
        <f t="shared" si="8"/>
        <v>4336.1998124536694</v>
      </c>
      <c r="X16" s="460">
        <f t="shared" si="9"/>
        <v>40</v>
      </c>
      <c r="Z16" s="408"/>
      <c r="AB16" s="539">
        <f t="shared" si="10"/>
        <v>2355.6543942014659</v>
      </c>
      <c r="AC16" s="540">
        <f t="shared" si="11"/>
        <v>1404.9443470471954</v>
      </c>
      <c r="AD16" s="540">
        <f t="shared" si="12"/>
        <v>2175.8534778848525</v>
      </c>
      <c r="AE16" s="540">
        <f t="shared" si="13"/>
        <v>5936.4522191335136</v>
      </c>
      <c r="AF16" s="540">
        <f t="shared" si="14"/>
        <v>40</v>
      </c>
      <c r="AG16" s="537"/>
      <c r="AH16" s="540">
        <f t="shared" si="15"/>
        <v>5976.4522191335136</v>
      </c>
      <c r="AI16" s="541"/>
      <c r="AK16" s="500">
        <f t="shared" si="17"/>
        <v>4095.2789448974549</v>
      </c>
      <c r="AL16" s="500">
        <f t="shared" si="2"/>
        <v>4376.1998124536694</v>
      </c>
      <c r="AN16" s="408"/>
    </row>
    <row r="17" spans="1:41" ht="15">
      <c r="A17" s="409">
        <v>13</v>
      </c>
      <c r="B17" s="414">
        <v>202</v>
      </c>
      <c r="C17" s="414">
        <v>109</v>
      </c>
      <c r="D17" s="414">
        <v>2</v>
      </c>
      <c r="E17" s="400">
        <f t="shared" si="3"/>
        <v>2.6933531010625154E-2</v>
      </c>
      <c r="F17" s="412" t="s">
        <v>222</v>
      </c>
      <c r="G17" s="413">
        <v>6</v>
      </c>
      <c r="H17" s="400">
        <f t="shared" si="16"/>
        <v>1.4825796886582653E-3</v>
      </c>
      <c r="I17" s="403"/>
      <c r="J17" s="404"/>
      <c r="K17" s="405"/>
      <c r="L17" s="403"/>
      <c r="M17" s="404"/>
      <c r="N17" s="405"/>
      <c r="O17" s="456"/>
      <c r="P17" s="406">
        <f t="shared" si="0"/>
        <v>2.8416110699283417E-2</v>
      </c>
      <c r="Q17" s="407">
        <f t="shared" si="5"/>
        <v>2259.1538299975291</v>
      </c>
      <c r="R17" s="456"/>
      <c r="S17" s="408">
        <f t="shared" si="6"/>
        <v>2485.0692129972822</v>
      </c>
      <c r="T17" s="408">
        <f t="shared" si="7"/>
        <v>1002.0844823325921</v>
      </c>
      <c r="V17" s="408">
        <f t="shared" si="8"/>
        <v>3487.1536953298742</v>
      </c>
      <c r="X17" s="460">
        <f t="shared" si="9"/>
        <v>40</v>
      </c>
      <c r="Z17" s="408"/>
      <c r="AB17" s="539">
        <f t="shared" si="10"/>
        <v>1894.407379952228</v>
      </c>
      <c r="AC17" s="540">
        <f t="shared" si="11"/>
        <v>1129.8503490239682</v>
      </c>
      <c r="AD17" s="540">
        <f t="shared" si="12"/>
        <v>1749.8122374598465</v>
      </c>
      <c r="AE17" s="540">
        <f t="shared" si="13"/>
        <v>4774.0699664360427</v>
      </c>
      <c r="AF17" s="540">
        <f t="shared" si="14"/>
        <v>40</v>
      </c>
      <c r="AG17" s="537"/>
      <c r="AH17" s="540">
        <f t="shared" si="15"/>
        <v>4814.0699664360427</v>
      </c>
      <c r="AI17" s="541"/>
      <c r="AK17" s="500">
        <f t="shared" si="17"/>
        <v>3301.2383123301211</v>
      </c>
      <c r="AL17" s="500">
        <f t="shared" si="2"/>
        <v>3527.1536953298742</v>
      </c>
      <c r="AN17" s="408"/>
    </row>
    <row r="18" spans="1:41" ht="15">
      <c r="A18" s="409">
        <v>14</v>
      </c>
      <c r="B18" s="414">
        <v>203</v>
      </c>
      <c r="C18" s="414">
        <v>155</v>
      </c>
      <c r="D18" s="414">
        <v>2</v>
      </c>
      <c r="E18" s="400">
        <f t="shared" si="3"/>
        <v>3.8299975290338524E-2</v>
      </c>
      <c r="F18" s="412" t="s">
        <v>223</v>
      </c>
      <c r="G18" s="413">
        <v>6</v>
      </c>
      <c r="H18" s="400">
        <f t="shared" si="16"/>
        <v>1.4825796886582653E-3</v>
      </c>
      <c r="I18" s="403"/>
      <c r="J18" s="404"/>
      <c r="K18" s="405"/>
      <c r="L18" s="403"/>
      <c r="M18" s="404"/>
      <c r="N18" s="405"/>
      <c r="O18" s="456"/>
      <c r="P18" s="406">
        <f t="shared" si="0"/>
        <v>3.9782554978996791E-2</v>
      </c>
      <c r="Q18" s="407">
        <f t="shared" si="5"/>
        <v>3162.815361996541</v>
      </c>
      <c r="R18" s="456"/>
      <c r="S18" s="408">
        <f t="shared" si="6"/>
        <v>3479.096898196196</v>
      </c>
      <c r="T18" s="408">
        <f t="shared" si="7"/>
        <v>1402.9182752656291</v>
      </c>
      <c r="V18" s="408">
        <f t="shared" si="8"/>
        <v>4882.0151734618248</v>
      </c>
      <c r="X18" s="460">
        <f t="shared" si="9"/>
        <v>40</v>
      </c>
      <c r="Z18" s="408">
        <v>154</v>
      </c>
      <c r="AB18" s="539">
        <f t="shared" si="10"/>
        <v>2652.1703319331195</v>
      </c>
      <c r="AC18" s="540">
        <f t="shared" si="11"/>
        <v>1581.7904886335559</v>
      </c>
      <c r="AD18" s="540">
        <f t="shared" si="12"/>
        <v>2449.7371324437854</v>
      </c>
      <c r="AE18" s="540">
        <f t="shared" si="13"/>
        <v>6683.6979530104609</v>
      </c>
      <c r="AF18" s="540">
        <f t="shared" si="14"/>
        <v>40</v>
      </c>
      <c r="AG18" s="540">
        <f>Z18*1.1</f>
        <v>169.4</v>
      </c>
      <c r="AH18" s="540">
        <f t="shared" si="15"/>
        <v>6893.0979530104605</v>
      </c>
      <c r="AI18" s="541"/>
      <c r="AK18" s="500">
        <f t="shared" si="17"/>
        <v>4759.7336372621703</v>
      </c>
      <c r="AL18" s="500">
        <f t="shared" si="2"/>
        <v>5076.0151734618248</v>
      </c>
      <c r="AN18" s="408"/>
    </row>
    <row r="19" spans="1:41" ht="15">
      <c r="A19" s="397">
        <v>15</v>
      </c>
      <c r="B19" s="415">
        <v>204</v>
      </c>
      <c r="C19" s="415">
        <v>141</v>
      </c>
      <c r="D19" s="415">
        <v>4</v>
      </c>
      <c r="E19" s="400">
        <f t="shared" si="3"/>
        <v>3.4840622683469234E-2</v>
      </c>
      <c r="F19" s="401" t="s">
        <v>225</v>
      </c>
      <c r="G19" s="416">
        <v>6</v>
      </c>
      <c r="H19" s="400">
        <f t="shared" si="16"/>
        <v>1.4825796886582653E-3</v>
      </c>
      <c r="I19" s="401" t="s">
        <v>224</v>
      </c>
      <c r="J19" s="402">
        <v>7</v>
      </c>
      <c r="K19" s="400">
        <f>(J19*$C$44)/100</f>
        <v>1.729676303434643E-3</v>
      </c>
      <c r="L19" s="401" t="s">
        <v>226</v>
      </c>
      <c r="M19" s="416">
        <v>40</v>
      </c>
      <c r="N19" s="400">
        <f>(M19*$C$44)/100</f>
        <v>9.8838645910551033E-3</v>
      </c>
      <c r="O19" s="456"/>
      <c r="P19" s="406">
        <f t="shared" si="0"/>
        <v>4.7936743266617253E-2</v>
      </c>
      <c r="Q19" s="407">
        <f t="shared" si="5"/>
        <v>3811.0942871262673</v>
      </c>
      <c r="R19" s="456"/>
      <c r="S19" s="408">
        <f t="shared" si="6"/>
        <v>4192.2037158388948</v>
      </c>
      <c r="T19" s="408">
        <f t="shared" si="7"/>
        <v>1690.472952804547</v>
      </c>
      <c r="V19" s="408">
        <f t="shared" si="8"/>
        <v>5882.6766686434421</v>
      </c>
      <c r="X19" s="460">
        <f t="shared" si="9"/>
        <v>40</v>
      </c>
      <c r="Z19" s="408"/>
      <c r="AB19" s="539">
        <f t="shared" si="10"/>
        <v>3195.7828844411506</v>
      </c>
      <c r="AC19" s="540">
        <f t="shared" si="11"/>
        <v>1906.0084148752164</v>
      </c>
      <c r="AD19" s="540">
        <f t="shared" si="12"/>
        <v>2951.8571658018286</v>
      </c>
      <c r="AE19" s="540">
        <f t="shared" si="13"/>
        <v>8053.6484651181963</v>
      </c>
      <c r="AF19" s="540">
        <f t="shared" si="14"/>
        <v>40</v>
      </c>
      <c r="AG19" s="537"/>
      <c r="AH19" s="540">
        <f t="shared" si="15"/>
        <v>8093.6484651181963</v>
      </c>
      <c r="AI19" s="541"/>
      <c r="AK19" s="500">
        <f t="shared" si="17"/>
        <v>5541.5672399308141</v>
      </c>
      <c r="AL19" s="500">
        <f t="shared" si="2"/>
        <v>5922.6766686434421</v>
      </c>
      <c r="AN19" s="408"/>
    </row>
    <row r="20" spans="1:41" ht="15">
      <c r="A20" s="409">
        <v>16</v>
      </c>
      <c r="B20" s="414">
        <v>205</v>
      </c>
      <c r="C20" s="414">
        <v>58</v>
      </c>
      <c r="D20" s="414">
        <v>2</v>
      </c>
      <c r="E20" s="400">
        <f t="shared" si="3"/>
        <v>1.4331603657029899E-2</v>
      </c>
      <c r="F20" s="401" t="s">
        <v>227</v>
      </c>
      <c r="G20" s="402">
        <v>6</v>
      </c>
      <c r="H20" s="400">
        <f>(G20*$C$44)/100</f>
        <v>1.4825796886582653E-3</v>
      </c>
      <c r="I20" s="403"/>
      <c r="J20" s="404"/>
      <c r="K20" s="405"/>
      <c r="L20" s="403"/>
      <c r="M20" s="404"/>
      <c r="N20" s="405"/>
      <c r="O20" s="456"/>
      <c r="P20" s="406">
        <f t="shared" si="0"/>
        <v>1.5814183345688165E-2</v>
      </c>
      <c r="Q20" s="407">
        <f t="shared" si="5"/>
        <v>1257.2682184334076</v>
      </c>
      <c r="R20" s="456"/>
      <c r="S20" s="408">
        <f t="shared" si="6"/>
        <v>1382.9950402767486</v>
      </c>
      <c r="T20" s="408">
        <f t="shared" si="7"/>
        <v>557.68179886335565</v>
      </c>
      <c r="V20" s="408">
        <f t="shared" si="8"/>
        <v>1940.6768391401042</v>
      </c>
      <c r="X20" s="460">
        <f t="shared" si="9"/>
        <v>28.813536782802085</v>
      </c>
      <c r="Z20" s="408"/>
      <c r="AB20" s="539">
        <f t="shared" si="10"/>
        <v>1054.2788897125445</v>
      </c>
      <c r="AC20" s="540">
        <f t="shared" si="11"/>
        <v>628.78628119594771</v>
      </c>
      <c r="AD20" s="540">
        <f t="shared" si="12"/>
        <v>973.80854954287122</v>
      </c>
      <c r="AE20" s="540">
        <f t="shared" si="13"/>
        <v>2656.8737204513636</v>
      </c>
      <c r="AF20" s="540">
        <f t="shared" si="14"/>
        <v>40</v>
      </c>
      <c r="AG20" s="537"/>
      <c r="AH20" s="540">
        <f t="shared" si="15"/>
        <v>2696.8737204513636</v>
      </c>
      <c r="AI20" s="541"/>
      <c r="AK20" s="500">
        <f t="shared" si="17"/>
        <v>1843.7635540795652</v>
      </c>
      <c r="AL20" s="500">
        <f t="shared" si="2"/>
        <v>1969.4903759229062</v>
      </c>
      <c r="AN20" s="408"/>
    </row>
    <row r="21" spans="1:41" ht="15">
      <c r="A21" s="409">
        <v>17</v>
      </c>
      <c r="B21" s="414">
        <v>206</v>
      </c>
      <c r="C21" s="414">
        <v>57</v>
      </c>
      <c r="D21" s="414">
        <v>1</v>
      </c>
      <c r="E21" s="400">
        <f t="shared" si="3"/>
        <v>1.408450704225352E-2</v>
      </c>
      <c r="F21" s="403"/>
      <c r="G21" s="404"/>
      <c r="H21" s="405"/>
      <c r="I21" s="403"/>
      <c r="J21" s="404"/>
      <c r="K21" s="405"/>
      <c r="L21" s="403"/>
      <c r="M21" s="404"/>
      <c r="N21" s="405"/>
      <c r="O21" s="456"/>
      <c r="P21" s="406">
        <f t="shared" si="0"/>
        <v>1.408450704225352E-2</v>
      </c>
      <c r="Q21" s="407">
        <f t="shared" si="5"/>
        <v>1119.7545070422534</v>
      </c>
      <c r="R21" s="456"/>
      <c r="S21" s="408">
        <f t="shared" si="6"/>
        <v>1231.7299577464789</v>
      </c>
      <c r="T21" s="408">
        <f t="shared" si="7"/>
        <v>496.68535211267607</v>
      </c>
      <c r="V21" s="408">
        <f t="shared" si="8"/>
        <v>1728.4153098591551</v>
      </c>
      <c r="X21" s="460">
        <f t="shared" si="9"/>
        <v>24.568306197183102</v>
      </c>
      <c r="Z21" s="408"/>
      <c r="AB21" s="539">
        <f t="shared" si="10"/>
        <v>938.96713615023475</v>
      </c>
      <c r="AC21" s="540">
        <f t="shared" si="11"/>
        <v>560.01278169014086</v>
      </c>
      <c r="AD21" s="540">
        <f t="shared" si="12"/>
        <v>867.29823943661961</v>
      </c>
      <c r="AE21" s="540">
        <f t="shared" si="13"/>
        <v>2366.278157276995</v>
      </c>
      <c r="AF21" s="540">
        <f t="shared" si="14"/>
        <v>37.325563145539903</v>
      </c>
      <c r="AG21" s="537"/>
      <c r="AH21" s="540">
        <f t="shared" si="15"/>
        <v>2403.6037204225349</v>
      </c>
      <c r="AI21" s="541"/>
      <c r="AK21" s="500">
        <f t="shared" si="17"/>
        <v>1641.0081653521127</v>
      </c>
      <c r="AL21" s="500">
        <f t="shared" si="2"/>
        <v>1752.9836160563382</v>
      </c>
      <c r="AN21" s="408"/>
    </row>
    <row r="22" spans="1:41" ht="15">
      <c r="A22" s="409">
        <v>18</v>
      </c>
      <c r="B22" s="414">
        <v>301</v>
      </c>
      <c r="C22" s="414">
        <v>137</v>
      </c>
      <c r="D22" s="414">
        <v>2</v>
      </c>
      <c r="E22" s="400">
        <f t="shared" si="3"/>
        <v>3.3852236224363723E-2</v>
      </c>
      <c r="F22" s="412" t="s">
        <v>228</v>
      </c>
      <c r="G22" s="413">
        <v>6</v>
      </c>
      <c r="H22" s="400">
        <f t="shared" ref="H22:H24" si="18">(G22*$C$44)/100</f>
        <v>1.4825796886582653E-3</v>
      </c>
      <c r="I22" s="403"/>
      <c r="J22" s="404"/>
      <c r="K22" s="405"/>
      <c r="L22" s="403"/>
      <c r="M22" s="404"/>
      <c r="N22" s="405"/>
      <c r="O22" s="456"/>
      <c r="P22" s="406">
        <f t="shared" si="0"/>
        <v>3.533481591302199E-2</v>
      </c>
      <c r="Q22" s="407">
        <f t="shared" si="5"/>
        <v>2809.2086755621449</v>
      </c>
      <c r="R22" s="456"/>
      <c r="S22" s="408">
        <f t="shared" si="6"/>
        <v>3090.1295431183598</v>
      </c>
      <c r="T22" s="408">
        <f t="shared" si="7"/>
        <v>1246.0702693353101</v>
      </c>
      <c r="V22" s="408">
        <f t="shared" si="8"/>
        <v>4336.1998124536694</v>
      </c>
      <c r="X22" s="460">
        <f t="shared" si="9"/>
        <v>40</v>
      </c>
      <c r="Z22" s="408"/>
      <c r="AB22" s="539">
        <f t="shared" si="10"/>
        <v>2355.6543942014659</v>
      </c>
      <c r="AC22" s="540">
        <f t="shared" si="11"/>
        <v>1404.9443470471954</v>
      </c>
      <c r="AD22" s="540">
        <f t="shared" si="12"/>
        <v>2175.8534778848525</v>
      </c>
      <c r="AE22" s="540">
        <f t="shared" si="13"/>
        <v>5936.4522191335136</v>
      </c>
      <c r="AF22" s="540">
        <f t="shared" si="14"/>
        <v>40</v>
      </c>
      <c r="AG22" s="537"/>
      <c r="AH22" s="540">
        <f t="shared" si="15"/>
        <v>5976.4522191335136</v>
      </c>
      <c r="AI22" s="541"/>
      <c r="AK22" s="500">
        <f t="shared" si="17"/>
        <v>4095.2789448974549</v>
      </c>
      <c r="AL22" s="500">
        <f t="shared" si="2"/>
        <v>4376.1998124536694</v>
      </c>
      <c r="AN22" s="408"/>
    </row>
    <row r="23" spans="1:41" ht="15">
      <c r="A23" s="409">
        <v>19</v>
      </c>
      <c r="B23" s="414">
        <v>302</v>
      </c>
      <c r="C23" s="414">
        <v>109</v>
      </c>
      <c r="D23" s="414">
        <v>2</v>
      </c>
      <c r="E23" s="400">
        <f t="shared" si="3"/>
        <v>2.6933531010625154E-2</v>
      </c>
      <c r="F23" s="412" t="s">
        <v>229</v>
      </c>
      <c r="G23" s="413">
        <v>6</v>
      </c>
      <c r="H23" s="400">
        <f t="shared" si="18"/>
        <v>1.4825796886582653E-3</v>
      </c>
      <c r="I23" s="403"/>
      <c r="J23" s="404"/>
      <c r="K23" s="405"/>
      <c r="L23" s="403"/>
      <c r="M23" s="404"/>
      <c r="N23" s="405"/>
      <c r="O23" s="456"/>
      <c r="P23" s="406">
        <f t="shared" si="0"/>
        <v>2.8416110699283417E-2</v>
      </c>
      <c r="Q23" s="407">
        <f t="shared" si="5"/>
        <v>2259.1538299975291</v>
      </c>
      <c r="R23" s="456"/>
      <c r="S23" s="408">
        <f t="shared" si="6"/>
        <v>2485.0692129972822</v>
      </c>
      <c r="T23" s="408">
        <f t="shared" si="7"/>
        <v>1002.0844823325921</v>
      </c>
      <c r="V23" s="408">
        <f t="shared" si="8"/>
        <v>3487.1536953298742</v>
      </c>
      <c r="X23" s="460">
        <f t="shared" si="9"/>
        <v>40</v>
      </c>
      <c r="Z23" s="408"/>
      <c r="AB23" s="539">
        <f t="shared" si="10"/>
        <v>1894.407379952228</v>
      </c>
      <c r="AC23" s="540">
        <f t="shared" si="11"/>
        <v>1129.8503490239682</v>
      </c>
      <c r="AD23" s="540">
        <f t="shared" si="12"/>
        <v>1749.8122374598465</v>
      </c>
      <c r="AE23" s="540">
        <f t="shared" si="13"/>
        <v>4774.0699664360427</v>
      </c>
      <c r="AF23" s="540">
        <f t="shared" si="14"/>
        <v>40</v>
      </c>
      <c r="AG23" s="537"/>
      <c r="AH23" s="540">
        <f t="shared" si="15"/>
        <v>4814.0699664360427</v>
      </c>
      <c r="AI23" s="541"/>
      <c r="AK23" s="500">
        <f t="shared" si="17"/>
        <v>3301.2383123301211</v>
      </c>
      <c r="AL23" s="500">
        <f t="shared" si="2"/>
        <v>3527.1536953298742</v>
      </c>
      <c r="AN23" s="408"/>
    </row>
    <row r="24" spans="1:41" ht="15">
      <c r="A24" s="409">
        <v>20</v>
      </c>
      <c r="B24" s="414">
        <v>303</v>
      </c>
      <c r="C24" s="414">
        <v>155</v>
      </c>
      <c r="D24" s="414">
        <v>3</v>
      </c>
      <c r="E24" s="400">
        <f t="shared" si="3"/>
        <v>3.8299975290338524E-2</v>
      </c>
      <c r="F24" s="412" t="s">
        <v>230</v>
      </c>
      <c r="G24" s="413">
        <v>6</v>
      </c>
      <c r="H24" s="400">
        <f t="shared" si="18"/>
        <v>1.4825796886582653E-3</v>
      </c>
      <c r="I24" s="403"/>
      <c r="J24" s="404"/>
      <c r="K24" s="405"/>
      <c r="L24" s="401" t="s">
        <v>231</v>
      </c>
      <c r="M24" s="416">
        <v>30</v>
      </c>
      <c r="N24" s="400">
        <f>(M24*$C$44)/100</f>
        <v>7.4128984432913266E-3</v>
      </c>
      <c r="O24" s="456"/>
      <c r="P24" s="406">
        <f t="shared" si="0"/>
        <v>4.7195453422288119E-2</v>
      </c>
      <c r="Q24" s="407">
        <f t="shared" si="5"/>
        <v>3752.1598393872009</v>
      </c>
      <c r="R24" s="456"/>
      <c r="S24" s="408">
        <f t="shared" si="6"/>
        <v>4127.3758233259214</v>
      </c>
      <c r="T24" s="408">
        <f t="shared" si="7"/>
        <v>1664.331618482827</v>
      </c>
      <c r="V24" s="408">
        <f t="shared" si="8"/>
        <v>5791.7074418087486</v>
      </c>
      <c r="X24" s="460">
        <f t="shared" si="9"/>
        <v>40</v>
      </c>
      <c r="Z24" s="408"/>
      <c r="AB24" s="539">
        <f t="shared" si="10"/>
        <v>3146.3635614858749</v>
      </c>
      <c r="AC24" s="540">
        <f t="shared" si="11"/>
        <v>1876.5340579441563</v>
      </c>
      <c r="AD24" s="540">
        <f t="shared" si="12"/>
        <v>2906.2098900420065</v>
      </c>
      <c r="AE24" s="540">
        <f t="shared" si="13"/>
        <v>7929.1075094720381</v>
      </c>
      <c r="AF24" s="540">
        <f t="shared" si="14"/>
        <v>40</v>
      </c>
      <c r="AG24" s="537"/>
      <c r="AH24" s="540">
        <f t="shared" si="15"/>
        <v>7969.1075094720381</v>
      </c>
      <c r="AI24" s="541"/>
      <c r="AK24" s="500">
        <f t="shared" si="17"/>
        <v>5456.4914578700282</v>
      </c>
      <c r="AL24" s="500">
        <f t="shared" si="2"/>
        <v>5831.7074418087486</v>
      </c>
      <c r="AN24" s="408"/>
    </row>
    <row r="25" spans="1:41" ht="15">
      <c r="A25" s="409">
        <v>21</v>
      </c>
      <c r="B25" s="414">
        <v>304</v>
      </c>
      <c r="C25" s="414">
        <v>141</v>
      </c>
      <c r="D25" s="414">
        <v>1</v>
      </c>
      <c r="E25" s="400">
        <f t="shared" si="3"/>
        <v>3.4840622683469234E-2</v>
      </c>
      <c r="F25" s="403"/>
      <c r="G25" s="404"/>
      <c r="H25" s="405"/>
      <c r="I25" s="403"/>
      <c r="J25" s="404"/>
      <c r="K25" s="405"/>
      <c r="L25" s="403"/>
      <c r="M25" s="404"/>
      <c r="N25" s="405"/>
      <c r="O25" s="456"/>
      <c r="P25" s="406">
        <f t="shared" si="0"/>
        <v>3.4840622683469234E-2</v>
      </c>
      <c r="Q25" s="407">
        <f t="shared" si="5"/>
        <v>2769.9190437361008</v>
      </c>
      <c r="R25" s="456"/>
      <c r="S25" s="408">
        <f t="shared" si="6"/>
        <v>3046.9109481097112</v>
      </c>
      <c r="T25" s="408">
        <f t="shared" si="7"/>
        <v>1228.6427131208302</v>
      </c>
      <c r="V25" s="408">
        <f t="shared" si="8"/>
        <v>4275.5536612305414</v>
      </c>
      <c r="X25" s="460">
        <f t="shared" si="9"/>
        <v>40</v>
      </c>
      <c r="Z25" s="408"/>
      <c r="AB25" s="539">
        <f t="shared" si="10"/>
        <v>2322.708178897949</v>
      </c>
      <c r="AC25" s="540">
        <f t="shared" si="11"/>
        <v>1385.294775759822</v>
      </c>
      <c r="AD25" s="540">
        <f t="shared" si="12"/>
        <v>2145.4219607116379</v>
      </c>
      <c r="AE25" s="540">
        <f t="shared" si="13"/>
        <v>5853.4249153694091</v>
      </c>
      <c r="AF25" s="540">
        <f t="shared" si="14"/>
        <v>40</v>
      </c>
      <c r="AG25" s="537"/>
      <c r="AH25" s="540">
        <f t="shared" si="15"/>
        <v>5893.4249153694091</v>
      </c>
      <c r="AI25" s="541"/>
      <c r="AK25" s="500">
        <f t="shared" si="17"/>
        <v>4038.561756856931</v>
      </c>
      <c r="AL25" s="500">
        <f t="shared" si="2"/>
        <v>4315.5536612305414</v>
      </c>
      <c r="AN25" s="408"/>
    </row>
    <row r="26" spans="1:41" ht="15">
      <c r="A26" s="409">
        <v>22</v>
      </c>
      <c r="B26" s="414">
        <v>305</v>
      </c>
      <c r="C26" s="414">
        <v>58</v>
      </c>
      <c r="D26" s="414">
        <v>1</v>
      </c>
      <c r="E26" s="400">
        <f t="shared" si="3"/>
        <v>1.4331603657029899E-2</v>
      </c>
      <c r="F26" s="403"/>
      <c r="G26" s="404"/>
      <c r="H26" s="405"/>
      <c r="I26" s="403"/>
      <c r="J26" s="404"/>
      <c r="K26" s="405"/>
      <c r="L26" s="403"/>
      <c r="M26" s="404"/>
      <c r="N26" s="405"/>
      <c r="O26" s="456"/>
      <c r="P26" s="406">
        <f t="shared" si="0"/>
        <v>1.4331603657029899E-2</v>
      </c>
      <c r="Q26" s="407">
        <f t="shared" si="5"/>
        <v>1139.3993229552757</v>
      </c>
      <c r="R26" s="456"/>
      <c r="S26" s="408">
        <f t="shared" si="6"/>
        <v>1253.3392552508035</v>
      </c>
      <c r="T26" s="408">
        <f t="shared" si="7"/>
        <v>505.39913021991606</v>
      </c>
      <c r="V26" s="408">
        <f t="shared" si="8"/>
        <v>1758.7383854707195</v>
      </c>
      <c r="X26" s="460">
        <f t="shared" si="9"/>
        <v>25.174767709414393</v>
      </c>
      <c r="Z26" s="408"/>
      <c r="AB26" s="539">
        <f t="shared" si="10"/>
        <v>955.44024380199335</v>
      </c>
      <c r="AC26" s="540">
        <f t="shared" si="11"/>
        <v>569.83756733382756</v>
      </c>
      <c r="AD26" s="540">
        <f t="shared" si="12"/>
        <v>882.51399802322703</v>
      </c>
      <c r="AE26" s="540">
        <f t="shared" si="13"/>
        <v>2407.7918091590482</v>
      </c>
      <c r="AF26" s="540">
        <f t="shared" si="14"/>
        <v>38.155836183180966</v>
      </c>
      <c r="AG26" s="537"/>
      <c r="AH26" s="540">
        <f t="shared" si="15"/>
        <v>2445.947645342229</v>
      </c>
      <c r="AI26" s="541"/>
      <c r="AK26" s="500">
        <f t="shared" si="17"/>
        <v>1669.9732208846062</v>
      </c>
      <c r="AL26" s="500">
        <f t="shared" si="2"/>
        <v>1783.913153180134</v>
      </c>
      <c r="AN26" s="408"/>
    </row>
    <row r="27" spans="1:41" ht="15">
      <c r="A27" s="409">
        <v>23</v>
      </c>
      <c r="B27" s="414">
        <v>306</v>
      </c>
      <c r="C27" s="414">
        <v>57</v>
      </c>
      <c r="D27" s="414">
        <v>2</v>
      </c>
      <c r="E27" s="400">
        <f t="shared" si="3"/>
        <v>1.408450704225352E-2</v>
      </c>
      <c r="F27" s="412" t="s">
        <v>232</v>
      </c>
      <c r="G27" s="413">
        <v>6</v>
      </c>
      <c r="H27" s="400">
        <f>(G27*$C$44)/100</f>
        <v>1.4825796886582653E-3</v>
      </c>
      <c r="I27" s="403"/>
      <c r="J27" s="404"/>
      <c r="K27" s="405"/>
      <c r="L27" s="403"/>
      <c r="M27" s="404"/>
      <c r="N27" s="405"/>
      <c r="O27" s="456"/>
      <c r="P27" s="406">
        <f t="shared" si="0"/>
        <v>1.5567086730911785E-2</v>
      </c>
      <c r="Q27" s="407">
        <f t="shared" si="5"/>
        <v>1237.6234025203855</v>
      </c>
      <c r="R27" s="456"/>
      <c r="S27" s="408">
        <f t="shared" si="6"/>
        <v>1361.3857427724242</v>
      </c>
      <c r="T27" s="408">
        <f t="shared" si="7"/>
        <v>548.96802075611561</v>
      </c>
      <c r="V27" s="408">
        <f t="shared" si="8"/>
        <v>1910.3537635285397</v>
      </c>
      <c r="X27" s="460">
        <f t="shared" si="9"/>
        <v>28.207075270570794</v>
      </c>
      <c r="Z27" s="408"/>
      <c r="AB27" s="539">
        <f t="shared" si="10"/>
        <v>1037.8057820607858</v>
      </c>
      <c r="AC27" s="540">
        <f t="shared" si="11"/>
        <v>618.96149555226089</v>
      </c>
      <c r="AD27" s="540">
        <f t="shared" si="12"/>
        <v>958.59279095626368</v>
      </c>
      <c r="AE27" s="540">
        <f t="shared" si="13"/>
        <v>2615.3600685693104</v>
      </c>
      <c r="AF27" s="540">
        <f t="shared" si="14"/>
        <v>40</v>
      </c>
      <c r="AG27" s="537"/>
      <c r="AH27" s="540">
        <f t="shared" si="15"/>
        <v>2655.3600685693104</v>
      </c>
      <c r="AI27" s="541"/>
      <c r="AK27" s="500">
        <f t="shared" si="17"/>
        <v>1814.7984985470721</v>
      </c>
      <c r="AL27" s="500">
        <f t="shared" si="2"/>
        <v>1938.5608387991106</v>
      </c>
      <c r="AN27" s="408"/>
    </row>
    <row r="28" spans="1:41" ht="15">
      <c r="A28" s="409">
        <v>24</v>
      </c>
      <c r="B28" s="414">
        <v>401</v>
      </c>
      <c r="C28" s="414">
        <v>137</v>
      </c>
      <c r="D28" s="414">
        <v>1</v>
      </c>
      <c r="E28" s="400">
        <f t="shared" si="3"/>
        <v>3.3852236224363723E-2</v>
      </c>
      <c r="F28" s="403"/>
      <c r="G28" s="404"/>
      <c r="H28" s="405"/>
      <c r="I28" s="403"/>
      <c r="J28" s="404"/>
      <c r="K28" s="405"/>
      <c r="L28" s="403"/>
      <c r="M28" s="404"/>
      <c r="N28" s="405"/>
      <c r="O28" s="456"/>
      <c r="P28" s="406">
        <f t="shared" si="0"/>
        <v>3.3852236224363723E-2</v>
      </c>
      <c r="Q28" s="407">
        <f t="shared" si="5"/>
        <v>2691.339780084013</v>
      </c>
      <c r="R28" s="456"/>
      <c r="S28" s="408">
        <f t="shared" si="6"/>
        <v>2960.4737580924143</v>
      </c>
      <c r="T28" s="408">
        <f t="shared" si="7"/>
        <v>1193.7876006918705</v>
      </c>
      <c r="V28" s="408">
        <f t="shared" si="8"/>
        <v>4154.2613587842843</v>
      </c>
      <c r="X28" s="460">
        <f t="shared" si="9"/>
        <v>40</v>
      </c>
      <c r="Z28" s="408"/>
      <c r="AB28" s="539">
        <f t="shared" si="10"/>
        <v>2256.8157482909151</v>
      </c>
      <c r="AC28" s="540">
        <f t="shared" si="11"/>
        <v>1345.9956331850753</v>
      </c>
      <c r="AD28" s="540">
        <f t="shared" si="12"/>
        <v>2084.5589263652087</v>
      </c>
      <c r="AE28" s="540">
        <f t="shared" si="13"/>
        <v>5687.3703078411991</v>
      </c>
      <c r="AF28" s="540">
        <f t="shared" si="14"/>
        <v>40</v>
      </c>
      <c r="AG28" s="537"/>
      <c r="AH28" s="540">
        <f t="shared" si="15"/>
        <v>5727.3703078411991</v>
      </c>
      <c r="AI28" s="541"/>
      <c r="AK28" s="500">
        <f t="shared" si="17"/>
        <v>3925.1273807758835</v>
      </c>
      <c r="AL28" s="500">
        <f t="shared" si="2"/>
        <v>4194.2613587842843</v>
      </c>
      <c r="AN28" s="408"/>
    </row>
    <row r="29" spans="1:41" ht="15">
      <c r="A29" s="409">
        <v>25</v>
      </c>
      <c r="B29" s="414">
        <v>402</v>
      </c>
      <c r="C29" s="414">
        <v>109</v>
      </c>
      <c r="D29" s="414">
        <v>2</v>
      </c>
      <c r="E29" s="400">
        <f t="shared" si="3"/>
        <v>2.6933531010625154E-2</v>
      </c>
      <c r="F29" s="412" t="s">
        <v>233</v>
      </c>
      <c r="G29" s="413">
        <v>6</v>
      </c>
      <c r="H29" s="400">
        <f t="shared" ref="H29:H30" si="19">(G29*$C$44)/100</f>
        <v>1.4825796886582653E-3</v>
      </c>
      <c r="I29" s="403"/>
      <c r="J29" s="404"/>
      <c r="K29" s="405"/>
      <c r="L29" s="403"/>
      <c r="M29" s="404"/>
      <c r="N29" s="405"/>
      <c r="O29" s="456"/>
      <c r="P29" s="406">
        <f t="shared" si="0"/>
        <v>2.8416110699283417E-2</v>
      </c>
      <c r="Q29" s="407">
        <f t="shared" si="5"/>
        <v>2259.1538299975291</v>
      </c>
      <c r="R29" s="456"/>
      <c r="S29" s="408">
        <f t="shared" si="6"/>
        <v>2485.0692129972822</v>
      </c>
      <c r="T29" s="408">
        <f t="shared" si="7"/>
        <v>1002.0844823325921</v>
      </c>
      <c r="V29" s="408">
        <f t="shared" si="8"/>
        <v>3487.1536953298742</v>
      </c>
      <c r="X29" s="460">
        <f t="shared" si="9"/>
        <v>40</v>
      </c>
      <c r="Z29" s="408"/>
      <c r="AB29" s="539">
        <f t="shared" si="10"/>
        <v>1894.407379952228</v>
      </c>
      <c r="AC29" s="540">
        <f t="shared" si="11"/>
        <v>1129.8503490239682</v>
      </c>
      <c r="AD29" s="540">
        <f t="shared" si="12"/>
        <v>1749.8122374598465</v>
      </c>
      <c r="AE29" s="540">
        <f t="shared" si="13"/>
        <v>4774.0699664360427</v>
      </c>
      <c r="AF29" s="540">
        <f t="shared" si="14"/>
        <v>40</v>
      </c>
      <c r="AG29" s="537"/>
      <c r="AH29" s="540">
        <f t="shared" si="15"/>
        <v>4814.0699664360427</v>
      </c>
      <c r="AI29" s="541"/>
      <c r="AK29" s="500">
        <f t="shared" si="17"/>
        <v>3301.2383123301211</v>
      </c>
      <c r="AL29" s="500">
        <f t="shared" si="2"/>
        <v>3527.1536953298742</v>
      </c>
      <c r="AN29" s="408"/>
    </row>
    <row r="30" spans="1:41" ht="15">
      <c r="A30" s="409">
        <v>26</v>
      </c>
      <c r="B30" s="414">
        <v>403</v>
      </c>
      <c r="C30" s="414">
        <v>155</v>
      </c>
      <c r="D30" s="414">
        <v>2</v>
      </c>
      <c r="E30" s="400">
        <f t="shared" si="3"/>
        <v>3.8299975290338524E-2</v>
      </c>
      <c r="F30" s="412" t="s">
        <v>234</v>
      </c>
      <c r="G30" s="413">
        <v>6</v>
      </c>
      <c r="H30" s="400">
        <f t="shared" si="19"/>
        <v>1.4825796886582653E-3</v>
      </c>
      <c r="I30" s="403"/>
      <c r="J30" s="404"/>
      <c r="K30" s="405"/>
      <c r="L30" s="403"/>
      <c r="M30" s="404"/>
      <c r="N30" s="405"/>
      <c r="O30" s="456"/>
      <c r="P30" s="406">
        <f t="shared" si="0"/>
        <v>3.9782554978996791E-2</v>
      </c>
      <c r="Q30" s="407">
        <f t="shared" si="5"/>
        <v>3162.815361996541</v>
      </c>
      <c r="R30" s="456"/>
      <c r="S30" s="408">
        <f t="shared" si="6"/>
        <v>3479.096898196196</v>
      </c>
      <c r="T30" s="408">
        <f t="shared" si="7"/>
        <v>1402.9182752656291</v>
      </c>
      <c r="V30" s="408">
        <f t="shared" si="8"/>
        <v>4882.0151734618248</v>
      </c>
      <c r="X30" s="460">
        <f t="shared" si="9"/>
        <v>40</v>
      </c>
      <c r="Z30" s="408">
        <v>154</v>
      </c>
      <c r="AB30" s="539">
        <f t="shared" si="10"/>
        <v>2652.1703319331195</v>
      </c>
      <c r="AC30" s="540">
        <f t="shared" si="11"/>
        <v>1581.7904886335559</v>
      </c>
      <c r="AD30" s="540">
        <f t="shared" si="12"/>
        <v>2449.7371324437854</v>
      </c>
      <c r="AE30" s="540">
        <f t="shared" si="13"/>
        <v>6683.6979530104609</v>
      </c>
      <c r="AF30" s="540">
        <f t="shared" si="14"/>
        <v>40</v>
      </c>
      <c r="AG30" s="540">
        <f>Z30*1.1</f>
        <v>169.4</v>
      </c>
      <c r="AH30" s="540">
        <f t="shared" si="15"/>
        <v>6893.0979530104605</v>
      </c>
      <c r="AI30" s="541"/>
      <c r="AK30" s="500">
        <f t="shared" si="17"/>
        <v>4759.7336372621703</v>
      </c>
      <c r="AL30" s="500">
        <f t="shared" si="2"/>
        <v>5076.0151734618248</v>
      </c>
      <c r="AN30" s="408"/>
    </row>
    <row r="31" spans="1:41" ht="15">
      <c r="A31" s="409">
        <v>27</v>
      </c>
      <c r="B31" s="414">
        <v>404</v>
      </c>
      <c r="C31" s="414">
        <v>141</v>
      </c>
      <c r="D31" s="414">
        <v>2</v>
      </c>
      <c r="E31" s="400">
        <f t="shared" si="3"/>
        <v>3.4840622683469234E-2</v>
      </c>
      <c r="F31" s="403"/>
      <c r="G31" s="404"/>
      <c r="H31" s="405"/>
      <c r="I31" s="403"/>
      <c r="J31" s="404"/>
      <c r="K31" s="405"/>
      <c r="L31" s="403"/>
      <c r="M31" s="404"/>
      <c r="N31" s="405"/>
      <c r="O31" s="456"/>
      <c r="P31" s="406">
        <f t="shared" si="0"/>
        <v>3.4840622683469234E-2</v>
      </c>
      <c r="Q31" s="407">
        <f t="shared" si="5"/>
        <v>2769.9190437361008</v>
      </c>
      <c r="R31" s="456"/>
      <c r="S31" s="408">
        <f t="shared" si="6"/>
        <v>3046.9109481097112</v>
      </c>
      <c r="T31" s="408">
        <f t="shared" si="7"/>
        <v>1228.6427131208302</v>
      </c>
      <c r="V31" s="408">
        <f t="shared" si="8"/>
        <v>4275.5536612305414</v>
      </c>
      <c r="X31" s="460">
        <f t="shared" si="9"/>
        <v>40</v>
      </c>
      <c r="Z31" s="408"/>
      <c r="AB31" s="539">
        <f t="shared" si="10"/>
        <v>2322.708178897949</v>
      </c>
      <c r="AC31" s="540">
        <f t="shared" si="11"/>
        <v>1385.294775759822</v>
      </c>
      <c r="AD31" s="540">
        <f t="shared" si="12"/>
        <v>2145.4219607116379</v>
      </c>
      <c r="AE31" s="540">
        <f t="shared" si="13"/>
        <v>5853.4249153694091</v>
      </c>
      <c r="AF31" s="540">
        <f t="shared" si="14"/>
        <v>40</v>
      </c>
      <c r="AG31" s="537"/>
      <c r="AH31" s="540">
        <f t="shared" si="15"/>
        <v>5893.4249153694091</v>
      </c>
      <c r="AI31" s="541"/>
      <c r="AK31" s="500">
        <f t="shared" si="17"/>
        <v>4038.561756856931</v>
      </c>
      <c r="AL31" s="500">
        <f t="shared" si="2"/>
        <v>4315.5536612305414</v>
      </c>
      <c r="AN31" s="408">
        <v>500</v>
      </c>
      <c r="AO31" s="127" t="s">
        <v>282</v>
      </c>
    </row>
    <row r="32" spans="1:41" ht="15">
      <c r="A32" s="409">
        <v>28</v>
      </c>
      <c r="B32" s="414">
        <v>405</v>
      </c>
      <c r="C32" s="414">
        <v>58</v>
      </c>
      <c r="D32" s="414">
        <v>1</v>
      </c>
      <c r="E32" s="400">
        <f t="shared" si="3"/>
        <v>1.4331603657029899E-2</v>
      </c>
      <c r="F32" s="403"/>
      <c r="G32" s="404"/>
      <c r="H32" s="405"/>
      <c r="I32" s="403"/>
      <c r="J32" s="404"/>
      <c r="K32" s="405"/>
      <c r="L32" s="403"/>
      <c r="M32" s="404"/>
      <c r="N32" s="405"/>
      <c r="O32" s="456"/>
      <c r="P32" s="406">
        <f t="shared" si="0"/>
        <v>1.4331603657029899E-2</v>
      </c>
      <c r="Q32" s="407">
        <f t="shared" si="5"/>
        <v>1139.3993229552757</v>
      </c>
      <c r="R32" s="456"/>
      <c r="S32" s="408">
        <f t="shared" si="6"/>
        <v>1253.3392552508035</v>
      </c>
      <c r="T32" s="408">
        <f t="shared" si="7"/>
        <v>505.39913021991606</v>
      </c>
      <c r="V32" s="408">
        <f t="shared" si="8"/>
        <v>1758.7383854707195</v>
      </c>
      <c r="X32" s="460">
        <f t="shared" si="9"/>
        <v>25.174767709414393</v>
      </c>
      <c r="Z32" s="408"/>
      <c r="AB32" s="539">
        <f t="shared" si="10"/>
        <v>955.44024380199335</v>
      </c>
      <c r="AC32" s="540">
        <f t="shared" si="11"/>
        <v>569.83756733382756</v>
      </c>
      <c r="AD32" s="540">
        <f t="shared" si="12"/>
        <v>882.51399802322703</v>
      </c>
      <c r="AE32" s="540">
        <f t="shared" si="13"/>
        <v>2407.7918091590482</v>
      </c>
      <c r="AF32" s="540">
        <f t="shared" si="14"/>
        <v>38.155836183180966</v>
      </c>
      <c r="AG32" s="537"/>
      <c r="AH32" s="540">
        <f t="shared" si="15"/>
        <v>2445.947645342229</v>
      </c>
      <c r="AI32" s="541"/>
      <c r="AK32" s="500">
        <f t="shared" si="17"/>
        <v>1669.9732208846062</v>
      </c>
      <c r="AL32" s="500">
        <f t="shared" si="2"/>
        <v>1783.913153180134</v>
      </c>
      <c r="AN32" s="408"/>
    </row>
    <row r="33" spans="1:40" ht="15">
      <c r="A33" s="409">
        <v>29</v>
      </c>
      <c r="B33" s="414">
        <v>406</v>
      </c>
      <c r="C33" s="414">
        <v>57</v>
      </c>
      <c r="D33" s="414">
        <v>2</v>
      </c>
      <c r="E33" s="400">
        <f t="shared" si="3"/>
        <v>1.408450704225352E-2</v>
      </c>
      <c r="F33" s="412" t="s">
        <v>236</v>
      </c>
      <c r="G33" s="413">
        <v>6</v>
      </c>
      <c r="H33" s="400">
        <f t="shared" ref="H33:H37" si="20">(G33*$C$44)/100</f>
        <v>1.4825796886582653E-3</v>
      </c>
      <c r="I33" s="403"/>
      <c r="J33" s="404"/>
      <c r="K33" s="405"/>
      <c r="L33" s="403"/>
      <c r="M33" s="404"/>
      <c r="N33" s="405"/>
      <c r="O33" s="456"/>
      <c r="P33" s="406">
        <f t="shared" si="0"/>
        <v>1.5567086730911785E-2</v>
      </c>
      <c r="Q33" s="407">
        <f t="shared" si="5"/>
        <v>1237.6234025203855</v>
      </c>
      <c r="R33" s="456"/>
      <c r="S33" s="408">
        <f t="shared" si="6"/>
        <v>1361.3857427724242</v>
      </c>
      <c r="T33" s="408">
        <f t="shared" si="7"/>
        <v>548.96802075611561</v>
      </c>
      <c r="V33" s="408">
        <f t="shared" si="8"/>
        <v>1910.3537635285397</v>
      </c>
      <c r="X33" s="460">
        <f t="shared" si="9"/>
        <v>28.207075270570794</v>
      </c>
      <c r="Z33" s="408"/>
      <c r="AB33" s="539">
        <f t="shared" si="10"/>
        <v>1037.8057820607858</v>
      </c>
      <c r="AC33" s="540">
        <f t="shared" si="11"/>
        <v>618.96149555226089</v>
      </c>
      <c r="AD33" s="540">
        <f t="shared" si="12"/>
        <v>958.59279095626368</v>
      </c>
      <c r="AE33" s="540">
        <f t="shared" si="13"/>
        <v>2615.3600685693104</v>
      </c>
      <c r="AF33" s="540">
        <f t="shared" si="14"/>
        <v>40</v>
      </c>
      <c r="AG33" s="537"/>
      <c r="AH33" s="540">
        <f t="shared" si="15"/>
        <v>2655.3600685693104</v>
      </c>
      <c r="AI33" s="541"/>
      <c r="AK33" s="500">
        <f t="shared" si="17"/>
        <v>1814.7984985470721</v>
      </c>
      <c r="AL33" s="500">
        <f t="shared" si="2"/>
        <v>1938.5608387991106</v>
      </c>
      <c r="AN33" s="408"/>
    </row>
    <row r="34" spans="1:40" ht="15">
      <c r="A34" s="409">
        <v>30</v>
      </c>
      <c r="B34" s="414">
        <v>501</v>
      </c>
      <c r="C34" s="414">
        <v>137</v>
      </c>
      <c r="D34" s="414">
        <v>2</v>
      </c>
      <c r="E34" s="400">
        <f t="shared" si="3"/>
        <v>3.3852236224363723E-2</v>
      </c>
      <c r="F34" s="412" t="s">
        <v>237</v>
      </c>
      <c r="G34" s="413">
        <v>6</v>
      </c>
      <c r="H34" s="400">
        <f t="shared" si="20"/>
        <v>1.4825796886582653E-3</v>
      </c>
      <c r="I34" s="403"/>
      <c r="J34" s="404"/>
      <c r="K34" s="405"/>
      <c r="L34" s="403"/>
      <c r="M34" s="404"/>
      <c r="N34" s="405"/>
      <c r="O34" s="456"/>
      <c r="P34" s="406">
        <f t="shared" si="0"/>
        <v>3.533481591302199E-2</v>
      </c>
      <c r="Q34" s="407">
        <f t="shared" si="5"/>
        <v>2809.2086755621449</v>
      </c>
      <c r="R34" s="456"/>
      <c r="S34" s="408">
        <f t="shared" si="6"/>
        <v>3090.1295431183598</v>
      </c>
      <c r="T34" s="408">
        <f t="shared" si="7"/>
        <v>1246.0702693353101</v>
      </c>
      <c r="V34" s="408">
        <f t="shared" si="8"/>
        <v>4336.1998124536694</v>
      </c>
      <c r="X34" s="460">
        <f t="shared" si="9"/>
        <v>40</v>
      </c>
      <c r="Z34" s="408">
        <v>154</v>
      </c>
      <c r="AB34" s="539">
        <f t="shared" si="10"/>
        <v>2355.6543942014659</v>
      </c>
      <c r="AC34" s="540">
        <f t="shared" si="11"/>
        <v>1404.9443470471954</v>
      </c>
      <c r="AD34" s="540">
        <f t="shared" si="12"/>
        <v>2175.8534778848525</v>
      </c>
      <c r="AE34" s="540">
        <f t="shared" si="13"/>
        <v>5936.4522191335136</v>
      </c>
      <c r="AF34" s="540">
        <f t="shared" si="14"/>
        <v>40</v>
      </c>
      <c r="AG34" s="540">
        <f>Z34*1.1</f>
        <v>169.4</v>
      </c>
      <c r="AH34" s="540">
        <f t="shared" si="15"/>
        <v>6145.8522191335132</v>
      </c>
      <c r="AI34" s="541"/>
      <c r="AK34" s="500">
        <f t="shared" si="17"/>
        <v>4249.2789448974545</v>
      </c>
      <c r="AL34" s="500">
        <f t="shared" si="2"/>
        <v>4530.1998124536694</v>
      </c>
      <c r="AN34" s="408"/>
    </row>
    <row r="35" spans="1:40" ht="15">
      <c r="A35" s="409">
        <v>31</v>
      </c>
      <c r="B35" s="414">
        <v>502</v>
      </c>
      <c r="C35" s="414">
        <v>108</v>
      </c>
      <c r="D35" s="414">
        <v>2</v>
      </c>
      <c r="E35" s="400">
        <f t="shared" si="3"/>
        <v>2.6686434395848776E-2</v>
      </c>
      <c r="F35" s="412" t="s">
        <v>238</v>
      </c>
      <c r="G35" s="413">
        <v>6</v>
      </c>
      <c r="H35" s="400">
        <f t="shared" si="20"/>
        <v>1.4825796886582653E-3</v>
      </c>
      <c r="I35" s="403"/>
      <c r="J35" s="404"/>
      <c r="K35" s="405"/>
      <c r="L35" s="403"/>
      <c r="M35" s="404"/>
      <c r="N35" s="405"/>
      <c r="O35" s="456"/>
      <c r="P35" s="406">
        <f t="shared" si="0"/>
        <v>2.8169014084507039E-2</v>
      </c>
      <c r="Q35" s="407">
        <f t="shared" si="5"/>
        <v>2239.5090140845068</v>
      </c>
      <c r="R35" s="456"/>
      <c r="S35" s="408">
        <f t="shared" si="6"/>
        <v>2463.4599154929579</v>
      </c>
      <c r="T35" s="408">
        <f t="shared" si="7"/>
        <v>993.37070422535214</v>
      </c>
      <c r="V35" s="408">
        <f t="shared" si="8"/>
        <v>3456.8306197183101</v>
      </c>
      <c r="X35" s="460">
        <f t="shared" si="9"/>
        <v>40</v>
      </c>
      <c r="Z35" s="408"/>
      <c r="AB35" s="539">
        <f t="shared" si="10"/>
        <v>1877.9342723004695</v>
      </c>
      <c r="AC35" s="540">
        <f t="shared" si="11"/>
        <v>1120.0255633802817</v>
      </c>
      <c r="AD35" s="540">
        <f t="shared" si="12"/>
        <v>1734.5964788732392</v>
      </c>
      <c r="AE35" s="540">
        <f t="shared" si="13"/>
        <v>4732.55631455399</v>
      </c>
      <c r="AF35" s="540">
        <f t="shared" si="14"/>
        <v>40</v>
      </c>
      <c r="AG35" s="537"/>
      <c r="AH35" s="540">
        <f t="shared" si="15"/>
        <v>4772.55631455399</v>
      </c>
      <c r="AI35" s="541"/>
      <c r="AK35" s="500">
        <f t="shared" si="17"/>
        <v>3272.8797183098591</v>
      </c>
      <c r="AL35" s="500">
        <f t="shared" si="2"/>
        <v>3496.8306197183101</v>
      </c>
      <c r="AN35" s="408"/>
    </row>
    <row r="36" spans="1:40" ht="15">
      <c r="A36" s="397">
        <v>32</v>
      </c>
      <c r="B36" s="415">
        <v>503</v>
      </c>
      <c r="C36" s="415">
        <v>237</v>
      </c>
      <c r="D36" s="415">
        <v>2</v>
      </c>
      <c r="E36" s="400">
        <f t="shared" si="3"/>
        <v>5.8561897702001486E-2</v>
      </c>
      <c r="F36" s="401" t="s">
        <v>239</v>
      </c>
      <c r="G36" s="402">
        <v>6</v>
      </c>
      <c r="H36" s="400">
        <f t="shared" si="20"/>
        <v>1.4825796886582653E-3</v>
      </c>
      <c r="I36" s="403"/>
      <c r="J36" s="404"/>
      <c r="K36" s="405"/>
      <c r="L36" s="403"/>
      <c r="M36" s="404"/>
      <c r="N36" s="405"/>
      <c r="O36" s="456"/>
      <c r="P36" s="406">
        <f t="shared" si="0"/>
        <v>6.0044477390659753E-2</v>
      </c>
      <c r="Q36" s="407">
        <f t="shared" si="5"/>
        <v>4773.6902668643452</v>
      </c>
      <c r="R36" s="456"/>
      <c r="S36" s="408">
        <f t="shared" si="6"/>
        <v>5251.0592935507802</v>
      </c>
      <c r="T36" s="408">
        <f t="shared" si="7"/>
        <v>2117.4480800593037</v>
      </c>
      <c r="V36" s="408">
        <f t="shared" si="8"/>
        <v>7368.507373610084</v>
      </c>
      <c r="X36" s="460">
        <f t="shared" si="9"/>
        <v>40</v>
      </c>
      <c r="Z36" s="408">
        <v>678.47</v>
      </c>
      <c r="AB36" s="539">
        <f t="shared" si="10"/>
        <v>4002.9651593773174</v>
      </c>
      <c r="AC36" s="540">
        <f t="shared" si="11"/>
        <v>2387.4229114158638</v>
      </c>
      <c r="AD36" s="540">
        <f t="shared" si="12"/>
        <v>3697.4293365455892</v>
      </c>
      <c r="AE36" s="540">
        <f t="shared" si="13"/>
        <v>10087.817407338771</v>
      </c>
      <c r="AF36" s="540">
        <f t="shared" si="14"/>
        <v>40</v>
      </c>
      <c r="AG36" s="540">
        <f>Z36*1.1</f>
        <v>746.31700000000012</v>
      </c>
      <c r="AH36" s="540">
        <f t="shared" si="15"/>
        <v>10874.134407338772</v>
      </c>
      <c r="AI36" s="541"/>
      <c r="AK36" s="500">
        <f t="shared" si="17"/>
        <v>7609.6083469236492</v>
      </c>
      <c r="AL36" s="500">
        <f t="shared" si="2"/>
        <v>8086.9773736100842</v>
      </c>
      <c r="AN36" s="408"/>
    </row>
    <row r="37" spans="1:40" ht="15">
      <c r="A37" s="409">
        <v>33</v>
      </c>
      <c r="B37" s="414">
        <v>504</v>
      </c>
      <c r="C37" s="414">
        <f>141+17</f>
        <v>158</v>
      </c>
      <c r="D37" s="414">
        <v>2</v>
      </c>
      <c r="E37" s="400">
        <f t="shared" si="3"/>
        <v>3.9041265134667658E-2</v>
      </c>
      <c r="F37" s="412" t="s">
        <v>240</v>
      </c>
      <c r="G37" s="413">
        <v>6</v>
      </c>
      <c r="H37" s="400">
        <f t="shared" si="20"/>
        <v>1.4825796886582653E-3</v>
      </c>
      <c r="I37" s="403"/>
      <c r="J37" s="404"/>
      <c r="K37" s="405"/>
      <c r="L37" s="403"/>
      <c r="M37" s="404"/>
      <c r="N37" s="405"/>
      <c r="O37" s="458"/>
      <c r="P37" s="406">
        <f t="shared" si="0"/>
        <v>4.0523844823325925E-2</v>
      </c>
      <c r="Q37" s="407">
        <f t="shared" si="5"/>
        <v>3221.7498097356074</v>
      </c>
      <c r="R37" s="458"/>
      <c r="S37" s="408">
        <f t="shared" si="6"/>
        <v>3543.9247907091685</v>
      </c>
      <c r="T37" s="408">
        <f t="shared" si="7"/>
        <v>1429.0596095873489</v>
      </c>
      <c r="V37" s="408">
        <f t="shared" si="8"/>
        <v>4972.9844002965174</v>
      </c>
      <c r="X37" s="460">
        <f t="shared" si="9"/>
        <v>40</v>
      </c>
      <c r="Z37" s="408"/>
      <c r="AB37" s="539">
        <f t="shared" si="10"/>
        <v>2701.5896548883952</v>
      </c>
      <c r="AC37" s="540">
        <f t="shared" si="11"/>
        <v>1611.2648455646161</v>
      </c>
      <c r="AD37" s="540">
        <f t="shared" si="12"/>
        <v>2495.3844082036076</v>
      </c>
      <c r="AE37" s="540">
        <f t="shared" si="13"/>
        <v>6808.2389086566191</v>
      </c>
      <c r="AF37" s="540">
        <f t="shared" si="14"/>
        <v>40</v>
      </c>
      <c r="AG37" s="537"/>
      <c r="AH37" s="540">
        <f t="shared" si="15"/>
        <v>6848.2389086566191</v>
      </c>
      <c r="AI37" s="541"/>
      <c r="AK37" s="500">
        <f t="shared" si="17"/>
        <v>4690.8094193229563</v>
      </c>
      <c r="AL37" s="500">
        <f t="shared" si="2"/>
        <v>5012.9844002965174</v>
      </c>
      <c r="AN37" s="408"/>
    </row>
    <row r="38" spans="1:40" ht="15">
      <c r="A38" s="409">
        <v>34</v>
      </c>
      <c r="B38" s="414">
        <v>505</v>
      </c>
      <c r="C38" s="414">
        <v>58</v>
      </c>
      <c r="D38" s="414">
        <v>1</v>
      </c>
      <c r="E38" s="400">
        <f t="shared" si="3"/>
        <v>1.4331603657029899E-2</v>
      </c>
      <c r="F38" s="403"/>
      <c r="G38" s="404"/>
      <c r="H38" s="405"/>
      <c r="I38" s="403"/>
      <c r="J38" s="404"/>
      <c r="K38" s="405"/>
      <c r="L38" s="403"/>
      <c r="M38" s="404"/>
      <c r="N38" s="405"/>
      <c r="O38" s="458"/>
      <c r="P38" s="406">
        <f t="shared" si="0"/>
        <v>1.4331603657029899E-2</v>
      </c>
      <c r="Q38" s="407">
        <f t="shared" si="5"/>
        <v>1139.3993229552757</v>
      </c>
      <c r="R38" s="458"/>
      <c r="S38" s="408">
        <f t="shared" si="6"/>
        <v>1253.3392552508035</v>
      </c>
      <c r="T38" s="408">
        <f t="shared" si="7"/>
        <v>505.39913021991606</v>
      </c>
      <c r="V38" s="408">
        <f t="shared" si="8"/>
        <v>1758.7383854707195</v>
      </c>
      <c r="X38" s="460">
        <f t="shared" si="9"/>
        <v>25.174767709414393</v>
      </c>
      <c r="Z38" s="408"/>
      <c r="AB38" s="539">
        <f t="shared" si="10"/>
        <v>955.44024380199335</v>
      </c>
      <c r="AC38" s="540">
        <f t="shared" si="11"/>
        <v>569.83756733382756</v>
      </c>
      <c r="AD38" s="540">
        <f t="shared" si="12"/>
        <v>882.51399802322703</v>
      </c>
      <c r="AE38" s="540">
        <f t="shared" si="13"/>
        <v>2407.7918091590482</v>
      </c>
      <c r="AF38" s="540">
        <f t="shared" si="14"/>
        <v>38.155836183180966</v>
      </c>
      <c r="AG38" s="537"/>
      <c r="AH38" s="540">
        <f t="shared" si="15"/>
        <v>2445.947645342229</v>
      </c>
      <c r="AI38" s="541"/>
      <c r="AK38" s="500">
        <f t="shared" si="17"/>
        <v>1669.9732208846062</v>
      </c>
      <c r="AL38" s="500">
        <f t="shared" si="2"/>
        <v>1783.913153180134</v>
      </c>
      <c r="AN38" s="408"/>
    </row>
    <row r="39" spans="1:40" ht="15">
      <c r="A39" s="409">
        <v>35</v>
      </c>
      <c r="B39" s="414">
        <v>506</v>
      </c>
      <c r="C39" s="414">
        <v>57</v>
      </c>
      <c r="D39" s="414">
        <v>1</v>
      </c>
      <c r="E39" s="400">
        <f t="shared" si="3"/>
        <v>1.408450704225352E-2</v>
      </c>
      <c r="F39" s="403"/>
      <c r="G39" s="404"/>
      <c r="H39" s="405"/>
      <c r="I39" s="403"/>
      <c r="J39" s="404"/>
      <c r="K39" s="405"/>
      <c r="L39" s="403"/>
      <c r="M39" s="404"/>
      <c r="N39" s="405"/>
      <c r="O39" s="458"/>
      <c r="P39" s="406">
        <f t="shared" si="0"/>
        <v>1.408450704225352E-2</v>
      </c>
      <c r="Q39" s="407">
        <f t="shared" si="5"/>
        <v>1119.7545070422534</v>
      </c>
      <c r="R39" s="458"/>
      <c r="S39" s="408">
        <f t="shared" si="6"/>
        <v>1231.7299577464789</v>
      </c>
      <c r="T39" s="408">
        <f t="shared" si="7"/>
        <v>496.68535211267607</v>
      </c>
      <c r="V39" s="408">
        <f t="shared" si="8"/>
        <v>1728.4153098591551</v>
      </c>
      <c r="X39" s="460">
        <f t="shared" si="9"/>
        <v>24.568306197183102</v>
      </c>
      <c r="Z39" s="408"/>
      <c r="AB39" s="539">
        <f t="shared" si="10"/>
        <v>938.96713615023475</v>
      </c>
      <c r="AC39" s="540">
        <f t="shared" si="11"/>
        <v>560.01278169014086</v>
      </c>
      <c r="AD39" s="540">
        <f t="shared" si="12"/>
        <v>867.29823943661961</v>
      </c>
      <c r="AE39" s="540">
        <f t="shared" si="13"/>
        <v>2366.278157276995</v>
      </c>
      <c r="AF39" s="540">
        <f t="shared" si="14"/>
        <v>37.325563145539903</v>
      </c>
      <c r="AG39" s="537"/>
      <c r="AH39" s="540">
        <f t="shared" si="15"/>
        <v>2403.6037204225349</v>
      </c>
      <c r="AI39" s="541"/>
      <c r="AK39" s="500">
        <f t="shared" si="17"/>
        <v>1641.0081653521127</v>
      </c>
      <c r="AL39" s="500">
        <f t="shared" si="2"/>
        <v>1752.9836160563382</v>
      </c>
      <c r="AN39" s="408"/>
    </row>
    <row r="40" spans="1:40">
      <c r="A40" s="409"/>
      <c r="B40" s="414"/>
      <c r="C40" s="414"/>
      <c r="D40" s="414">
        <v>1</v>
      </c>
      <c r="E40" s="400" t="s">
        <v>241</v>
      </c>
      <c r="F40" s="417" t="s">
        <v>242</v>
      </c>
      <c r="G40" s="413">
        <v>18</v>
      </c>
      <c r="H40" s="400">
        <f t="shared" ref="H40:H41" si="21">(G40*$C$44)/100</f>
        <v>4.447739065974796E-3</v>
      </c>
      <c r="I40" s="403"/>
      <c r="J40" s="404"/>
      <c r="K40" s="405"/>
      <c r="L40" s="403"/>
      <c r="M40" s="404"/>
      <c r="N40" s="405"/>
      <c r="O40" s="458"/>
      <c r="P40" s="406">
        <f>(H40+N40+K40)</f>
        <v>4.447739065974796E-3</v>
      </c>
      <c r="Q40" s="407">
        <f t="shared" si="5"/>
        <v>353.60668643439584</v>
      </c>
      <c r="R40" s="458"/>
      <c r="S40" s="418">
        <f t="shared" si="6"/>
        <v>388.96735507783552</v>
      </c>
      <c r="T40" s="418">
        <f t="shared" si="7"/>
        <v>156.84800593031878</v>
      </c>
      <c r="U40" s="419"/>
      <c r="V40" s="418">
        <f t="shared" si="8"/>
        <v>545.81536100815424</v>
      </c>
      <c r="W40" s="127" t="s">
        <v>243</v>
      </c>
      <c r="Z40" s="408"/>
      <c r="AB40" s="542">
        <f t="shared" si="10"/>
        <v>296.51593773165308</v>
      </c>
      <c r="AC40" s="543">
        <f t="shared" si="11"/>
        <v>176.84614158636026</v>
      </c>
      <c r="AD40" s="543">
        <f t="shared" si="12"/>
        <v>273.88365455893251</v>
      </c>
      <c r="AE40" s="543">
        <f t="shared" si="13"/>
        <v>747.24573387694591</v>
      </c>
      <c r="AF40" s="537" t="s">
        <v>243</v>
      </c>
      <c r="AG40" s="537"/>
      <c r="AH40" s="540">
        <f>AE40</f>
        <v>747.24573387694591</v>
      </c>
      <c r="AI40" s="541"/>
      <c r="AK40" s="501"/>
      <c r="AL40" s="501"/>
      <c r="AN40" s="408"/>
    </row>
    <row r="41" spans="1:40" ht="15" thickBot="1">
      <c r="A41" s="397"/>
      <c r="B41" s="415"/>
      <c r="C41" s="415"/>
      <c r="D41" s="415">
        <v>1</v>
      </c>
      <c r="E41" s="400" t="s">
        <v>244</v>
      </c>
      <c r="F41" s="420" t="s">
        <v>245</v>
      </c>
      <c r="G41" s="421">
        <v>6</v>
      </c>
      <c r="H41" s="400">
        <f t="shared" si="21"/>
        <v>1.4825796886582653E-3</v>
      </c>
      <c r="I41" s="422"/>
      <c r="J41" s="423"/>
      <c r="K41" s="405"/>
      <c r="L41" s="422"/>
      <c r="M41" s="423"/>
      <c r="N41" s="424"/>
      <c r="O41" s="458"/>
      <c r="P41" s="406">
        <f>(H41+N41+K41)</f>
        <v>1.4825796886582653E-3</v>
      </c>
      <c r="Q41" s="407">
        <f t="shared" si="5"/>
        <v>117.86889547813196</v>
      </c>
      <c r="R41" s="458"/>
      <c r="S41" s="425">
        <f t="shared" si="6"/>
        <v>129.65578502594516</v>
      </c>
      <c r="T41" s="418">
        <f t="shared" si="7"/>
        <v>52.282668643439585</v>
      </c>
      <c r="U41" s="419"/>
      <c r="V41" s="418">
        <f t="shared" si="8"/>
        <v>181.93845366938476</v>
      </c>
      <c r="W41" s="127" t="s">
        <v>243</v>
      </c>
      <c r="Z41" s="408"/>
      <c r="AB41" s="542">
        <f t="shared" si="10"/>
        <v>98.838645910551023</v>
      </c>
      <c r="AC41" s="543">
        <f t="shared" si="11"/>
        <v>58.948713862120087</v>
      </c>
      <c r="AD41" s="543">
        <f t="shared" si="12"/>
        <v>91.294551519644173</v>
      </c>
      <c r="AE41" s="543">
        <f t="shared" si="13"/>
        <v>249.08191129231528</v>
      </c>
      <c r="AF41" s="537" t="s">
        <v>243</v>
      </c>
      <c r="AG41" s="537"/>
      <c r="AH41" s="540">
        <f>AE41</f>
        <v>249.08191129231528</v>
      </c>
      <c r="AI41" s="541"/>
      <c r="AK41" s="499"/>
      <c r="AL41" s="499"/>
      <c r="AN41" s="408"/>
    </row>
    <row r="42" spans="1:40" ht="15" thickBot="1">
      <c r="A42" s="426">
        <v>34</v>
      </c>
      <c r="B42" s="427"/>
      <c r="C42" s="428">
        <f>SUM(C6:C41)+G42+M42+J42</f>
        <v>4047</v>
      </c>
      <c r="D42" s="429">
        <f>SUM(D6:D41)</f>
        <v>64</v>
      </c>
      <c r="E42" s="430"/>
      <c r="F42" s="431" t="s">
        <v>246</v>
      </c>
      <c r="G42" s="432">
        <f>SUM(G6:G41)</f>
        <v>168</v>
      </c>
      <c r="H42" s="433"/>
      <c r="I42" s="431" t="s">
        <v>247</v>
      </c>
      <c r="J42" s="432">
        <f>SUM(J6:J41)</f>
        <v>13</v>
      </c>
      <c r="K42" s="433"/>
      <c r="L42" s="431" t="s">
        <v>247</v>
      </c>
      <c r="M42" s="432">
        <f>SUM(M6:M41)</f>
        <v>70</v>
      </c>
      <c r="N42" s="433"/>
      <c r="O42" s="459"/>
      <c r="P42" s="434">
        <f>SUM(P6:P41)</f>
        <v>1</v>
      </c>
      <c r="Q42" s="435">
        <f>SUM(Q6:Q41)</f>
        <v>79502.570000000022</v>
      </c>
      <c r="R42" s="459"/>
      <c r="S42" s="436">
        <f>SUM(S6:S41)</f>
        <v>87452.82699999999</v>
      </c>
      <c r="T42" s="436">
        <f>SUM(T6:T41)</f>
        <v>35264.660000000003</v>
      </c>
      <c r="V42" s="436">
        <f>SUM(V6:V41)</f>
        <v>122717.48700000002</v>
      </c>
      <c r="X42" s="436">
        <f>SUM(X6:X41)</f>
        <v>1206.0193674870275</v>
      </c>
      <c r="Z42" s="436">
        <f>SUM(Z6:Z41)</f>
        <v>1294.47</v>
      </c>
      <c r="AB42" s="436">
        <f t="shared" ref="AB42:AH42" si="22">SUM(AB6:AB41)</f>
        <v>66666.666666666686</v>
      </c>
      <c r="AC42" s="436">
        <f t="shared" si="22"/>
        <v>39760.907500000008</v>
      </c>
      <c r="AD42" s="436">
        <f t="shared" si="22"/>
        <v>61578.174999999996</v>
      </c>
      <c r="AE42" s="436">
        <f t="shared" si="22"/>
        <v>168005.74916666665</v>
      </c>
      <c r="AF42" s="436">
        <f t="shared" si="22"/>
        <v>1338.9717406473933</v>
      </c>
      <c r="AG42" s="436">
        <f t="shared" si="22"/>
        <v>1423.9170000000001</v>
      </c>
      <c r="AH42" s="436">
        <f t="shared" si="22"/>
        <v>170768.63790731403</v>
      </c>
      <c r="AI42" s="541"/>
      <c r="AK42" s="501">
        <f>SUM(AK6:AK41)</f>
        <v>116587.11311100077</v>
      </c>
      <c r="AL42" s="501">
        <f>SUM(AL6:AL41)</f>
        <v>124490.22255280953</v>
      </c>
      <c r="AN42" s="436">
        <f>SUM(AN6:AN41)</f>
        <v>500</v>
      </c>
    </row>
    <row r="43" spans="1:40" ht="15">
      <c r="A43" s="437"/>
      <c r="B43" s="438" t="s">
        <v>248</v>
      </c>
      <c r="C43" s="437">
        <v>4047</v>
      </c>
      <c r="D43" s="522"/>
      <c r="F43" s="439"/>
      <c r="G43" s="440"/>
      <c r="H43" s="441"/>
      <c r="I43" s="442"/>
      <c r="J43" s="442"/>
      <c r="K43" s="442"/>
      <c r="L43" s="439"/>
      <c r="M43" s="440"/>
      <c r="N43" s="441"/>
      <c r="O43" s="443"/>
      <c r="P43" s="442"/>
      <c r="Q43" s="444" t="s">
        <v>153</v>
      </c>
      <c r="R43" s="443"/>
      <c r="AB43" s="544"/>
      <c r="AC43" s="537"/>
      <c r="AD43" s="537"/>
      <c r="AE43" s="537"/>
      <c r="AF43" s="537"/>
      <c r="AG43" s="537"/>
      <c r="AH43" s="537"/>
      <c r="AI43" s="541"/>
      <c r="AN43" s="461"/>
    </row>
    <row r="44" spans="1:40">
      <c r="B44" s="127" t="s">
        <v>249</v>
      </c>
      <c r="C44" s="445">
        <f>100/C42</f>
        <v>2.4709661477637757E-2</v>
      </c>
      <c r="D44" s="445"/>
      <c r="Q44" s="444">
        <v>79502.570000000007</v>
      </c>
      <c r="S44" s="446">
        <f>Q44*1.1</f>
        <v>87452.827000000019</v>
      </c>
      <c r="T44" s="447">
        <f>35264.66</f>
        <v>35264.660000000003</v>
      </c>
      <c r="AB44" s="545">
        <f>'Budget 2020'!E8</f>
        <v>800000</v>
      </c>
      <c r="AC44" s="546">
        <f>(9*38791.13+3*42670.24)</f>
        <v>477130.89</v>
      </c>
      <c r="AD44" s="546">
        <f>'Budget 2020'!E12</f>
        <v>738938.1</v>
      </c>
      <c r="AE44" s="546"/>
      <c r="AF44" s="546"/>
      <c r="AG44" s="546"/>
      <c r="AH44" s="546">
        <f>AH45*12</f>
        <v>2049223.6548877684</v>
      </c>
      <c r="AI44" s="547"/>
    </row>
    <row r="45" spans="1:40">
      <c r="C45" s="444"/>
      <c r="H45" s="127">
        <v>34</v>
      </c>
      <c r="S45" s="495" t="s">
        <v>276</v>
      </c>
      <c r="Z45" s="494" t="s">
        <v>280</v>
      </c>
      <c r="AB45" s="545">
        <f>AB44/12</f>
        <v>66666.666666666672</v>
      </c>
      <c r="AC45" s="546">
        <f>AC44/12</f>
        <v>39760.907500000001</v>
      </c>
      <c r="AD45" s="546">
        <f>AD44/12</f>
        <v>61578.174999999996</v>
      </c>
      <c r="AE45" s="546"/>
      <c r="AF45" s="546"/>
      <c r="AG45" s="546"/>
      <c r="AH45" s="548">
        <f>AH42</f>
        <v>170768.63790731403</v>
      </c>
      <c r="AI45" s="547"/>
    </row>
    <row r="46" spans="1:40" ht="15">
      <c r="A46"/>
      <c r="B46"/>
      <c r="C46" s="448"/>
      <c r="D46"/>
      <c r="E46"/>
      <c r="F46"/>
      <c r="G46"/>
      <c r="H46">
        <v>26</v>
      </c>
      <c r="I46"/>
      <c r="T46" s="519"/>
      <c r="U46" s="594"/>
      <c r="V46" s="594"/>
      <c r="W46" s="594"/>
      <c r="AB46" s="544"/>
      <c r="AC46" s="537"/>
      <c r="AD46" s="537"/>
      <c r="AE46" s="537"/>
      <c r="AF46" s="537"/>
      <c r="AG46" s="537"/>
      <c r="AH46" s="537"/>
      <c r="AI46" s="541"/>
      <c r="AN46" s="461"/>
    </row>
    <row r="47" spans="1:40" ht="15">
      <c r="A47"/>
      <c r="B47"/>
      <c r="C47"/>
      <c r="D47"/>
      <c r="E47"/>
      <c r="F47"/>
      <c r="G47"/>
      <c r="H47">
        <v>2</v>
      </c>
      <c r="I47"/>
      <c r="T47" s="594"/>
      <c r="U47" s="594"/>
      <c r="V47" s="594"/>
      <c r="W47" s="594"/>
      <c r="AB47" s="544"/>
      <c r="AC47" s="537"/>
      <c r="AD47" s="537" t="s">
        <v>299</v>
      </c>
      <c r="AE47" s="537"/>
      <c r="AF47" s="537"/>
      <c r="AG47" s="537"/>
      <c r="AH47" s="537"/>
      <c r="AI47" s="541"/>
    </row>
    <row r="48" spans="1:40" ht="15">
      <c r="A48"/>
      <c r="B48"/>
      <c r="C48"/>
      <c r="D48"/>
      <c r="E48"/>
      <c r="F48"/>
      <c r="G48"/>
      <c r="H48">
        <v>2</v>
      </c>
      <c r="I48"/>
      <c r="AB48" s="544"/>
      <c r="AC48" s="537"/>
      <c r="AD48" s="537" t="s">
        <v>298</v>
      </c>
      <c r="AE48" s="537"/>
      <c r="AF48" s="537"/>
      <c r="AG48" s="537"/>
      <c r="AH48" s="537"/>
      <c r="AI48" s="541"/>
    </row>
    <row r="49" spans="1:35">
      <c r="A49" s="153"/>
      <c r="B49" s="153"/>
      <c r="C49" s="153"/>
      <c r="D49" s="449"/>
      <c r="E49" s="450" t="s">
        <v>250</v>
      </c>
      <c r="F49" s="451"/>
      <c r="G49" s="452"/>
      <c r="H49" s="449">
        <f>SUM(H45:H48)</f>
        <v>64</v>
      </c>
      <c r="I49" s="378"/>
      <c r="J49" s="378"/>
      <c r="K49" s="378"/>
      <c r="L49" s="376"/>
      <c r="M49" s="377"/>
      <c r="S49" s="496" t="s">
        <v>277</v>
      </c>
      <c r="AB49" s="544"/>
      <c r="AC49" s="537"/>
      <c r="AD49" s="537"/>
      <c r="AE49" s="537"/>
      <c r="AF49" s="537"/>
      <c r="AG49" s="537"/>
      <c r="AH49" s="537"/>
      <c r="AI49" s="541"/>
    </row>
    <row r="50" spans="1:35">
      <c r="A50" s="153"/>
      <c r="B50" s="153"/>
      <c r="C50" s="153"/>
      <c r="D50" s="153"/>
      <c r="E50" s="453"/>
      <c r="F50" s="376"/>
      <c r="G50" s="377"/>
      <c r="H50" s="153"/>
      <c r="I50" s="378"/>
      <c r="J50" s="378"/>
      <c r="K50" s="378"/>
      <c r="L50" s="376"/>
      <c r="M50" s="377"/>
      <c r="AB50" s="544"/>
      <c r="AC50" s="537"/>
      <c r="AD50" s="537"/>
      <c r="AE50" s="537"/>
      <c r="AF50" s="537"/>
      <c r="AG50" s="537"/>
      <c r="AH50" s="537"/>
      <c r="AI50" s="541"/>
    </row>
    <row r="51" spans="1:35">
      <c r="A51" s="153"/>
      <c r="B51" s="153"/>
      <c r="C51" s="153"/>
      <c r="D51" s="153"/>
      <c r="E51" s="375"/>
      <c r="F51" s="376"/>
      <c r="G51" s="377"/>
      <c r="H51" s="153"/>
      <c r="I51" s="378"/>
      <c r="J51" s="378"/>
      <c r="K51" s="378"/>
      <c r="L51" s="376"/>
      <c r="M51" s="377"/>
      <c r="AB51" s="544"/>
      <c r="AC51" s="537"/>
      <c r="AD51" s="537"/>
      <c r="AE51" s="537"/>
      <c r="AF51" s="537"/>
      <c r="AG51" s="537"/>
      <c r="AH51" s="537"/>
      <c r="AI51" s="541"/>
    </row>
    <row r="52" spans="1:35">
      <c r="AB52" s="544"/>
      <c r="AC52" s="537"/>
      <c r="AD52" s="537"/>
      <c r="AE52" s="537"/>
      <c r="AF52" s="537"/>
      <c r="AG52" s="537"/>
      <c r="AH52" s="537"/>
      <c r="AI52" s="541"/>
    </row>
    <row r="53" spans="1:35">
      <c r="AB53" s="544"/>
      <c r="AC53" s="537"/>
      <c r="AD53" s="537"/>
      <c r="AE53" s="537"/>
      <c r="AF53" s="537"/>
      <c r="AG53" s="537"/>
      <c r="AH53" s="537"/>
      <c r="AI53" s="541"/>
    </row>
    <row r="54" spans="1:35">
      <c r="AB54" s="544"/>
      <c r="AC54" s="537"/>
      <c r="AD54" s="537"/>
      <c r="AE54" s="537"/>
      <c r="AF54" s="537"/>
      <c r="AG54" s="537"/>
      <c r="AH54" s="537"/>
      <c r="AI54" s="541"/>
    </row>
    <row r="55" spans="1:35" ht="15" thickBot="1">
      <c r="AB55" s="549"/>
      <c r="AC55" s="550"/>
      <c r="AD55" s="550"/>
      <c r="AE55" s="550"/>
      <c r="AF55" s="550"/>
      <c r="AG55" s="550"/>
      <c r="AH55" s="550"/>
      <c r="AI55" s="551"/>
    </row>
  </sheetData>
  <sheetProtection algorithmName="SHA-512" hashValue="qziEDiCTChnhxjWU08K/AeMiVZ30pzzwAP317LbrJswlmrYHxmbLLJS1jkzeAZkQQpzzE193EX5AcHpn8ZoaUQ==" saltValue="1yvnNIECrgGgvmE7ehtBJA==" spinCount="100000" sheet="1" objects="1" scenarios="1"/>
  <mergeCells count="11">
    <mergeCell ref="A1:P1"/>
    <mergeCell ref="S2:T2"/>
    <mergeCell ref="A4:E4"/>
    <mergeCell ref="F4:H4"/>
    <mergeCell ref="I4:K4"/>
    <mergeCell ref="L4:N4"/>
    <mergeCell ref="U46:W46"/>
    <mergeCell ref="T47:W47"/>
    <mergeCell ref="AB2:AI2"/>
    <mergeCell ref="AB1:AI1"/>
    <mergeCell ref="S1:Z1"/>
  </mergeCells>
  <pageMargins left="0.25" right="0.25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workbookViewId="0">
      <selection activeCell="H82" sqref="H82"/>
    </sheetView>
  </sheetViews>
  <sheetFormatPr baseColWidth="10" defaultColWidth="11.5" defaultRowHeight="15"/>
  <cols>
    <col min="1" max="1" width="13.1640625" customWidth="1"/>
    <col min="2" max="2" width="11.33203125" customWidth="1"/>
    <col min="3" max="3" width="11.83203125" customWidth="1"/>
    <col min="15" max="15" width="12.83203125" customWidth="1"/>
    <col min="16" max="16" width="12.5" customWidth="1"/>
  </cols>
  <sheetData>
    <row r="1" spans="1:17">
      <c r="A1" s="465" t="s">
        <v>356</v>
      </c>
    </row>
    <row r="2" spans="1:17">
      <c r="A2" s="465" t="s">
        <v>259</v>
      </c>
      <c r="B2" s="464">
        <f>'Levy Budget 2020'!AB42</f>
        <v>66666.666666666686</v>
      </c>
      <c r="D2" s="465" t="s">
        <v>260</v>
      </c>
      <c r="F2" s="464">
        <f>'Levy Budget 2020'!AC45</f>
        <v>39760.907500000001</v>
      </c>
    </row>
    <row r="3" spans="1:17">
      <c r="A3" s="472"/>
      <c r="B3" s="603" t="s">
        <v>256</v>
      </c>
      <c r="C3" s="603"/>
      <c r="D3" s="603" t="s">
        <v>269</v>
      </c>
      <c r="E3" s="603"/>
      <c r="F3" s="603" t="s">
        <v>270</v>
      </c>
      <c r="G3" s="603"/>
      <c r="H3" s="603" t="s">
        <v>257</v>
      </c>
      <c r="I3" s="603"/>
      <c r="J3" s="472" t="s">
        <v>206</v>
      </c>
      <c r="K3" s="472" t="s">
        <v>267</v>
      </c>
      <c r="L3" s="472" t="s">
        <v>258</v>
      </c>
      <c r="M3" s="472" t="s">
        <v>255</v>
      </c>
      <c r="N3" s="524" t="s">
        <v>300</v>
      </c>
      <c r="O3" s="472" t="s">
        <v>206</v>
      </c>
      <c r="P3" s="472" t="s">
        <v>261</v>
      </c>
      <c r="Q3" s="472" t="s">
        <v>278</v>
      </c>
    </row>
    <row r="4" spans="1:17">
      <c r="A4" s="472" t="s">
        <v>256</v>
      </c>
      <c r="B4" s="472" t="s">
        <v>149</v>
      </c>
      <c r="C4" s="472" t="s">
        <v>266</v>
      </c>
      <c r="D4" s="472" t="s">
        <v>149</v>
      </c>
      <c r="E4" s="472" t="s">
        <v>266</v>
      </c>
      <c r="F4" s="472" t="s">
        <v>149</v>
      </c>
      <c r="G4" s="472" t="s">
        <v>266</v>
      </c>
      <c r="H4" s="472" t="s">
        <v>149</v>
      </c>
      <c r="I4" s="472" t="s">
        <v>266</v>
      </c>
      <c r="J4" s="472" t="s">
        <v>149</v>
      </c>
      <c r="K4" s="472" t="s">
        <v>268</v>
      </c>
      <c r="L4" s="472"/>
      <c r="M4" s="472"/>
      <c r="N4" s="524" t="s">
        <v>354</v>
      </c>
      <c r="O4" s="472"/>
      <c r="P4" s="472"/>
      <c r="Q4" s="472"/>
    </row>
    <row r="5" spans="1:17">
      <c r="A5" s="473" t="s">
        <v>154</v>
      </c>
      <c r="B5">
        <f>'Levy Budget 2020'!E6</f>
        <v>2.545095132196689E-2</v>
      </c>
      <c r="C5" s="464">
        <f t="shared" ref="C5:C38" si="0">B5*B$2</f>
        <v>1696.7300881311264</v>
      </c>
      <c r="D5" s="474">
        <f>'Levy Budget 2020'!H6</f>
        <v>1.4825796886582653E-3</v>
      </c>
      <c r="E5" s="464">
        <f t="shared" ref="E5:E38" si="1">D5*B$2</f>
        <v>98.838645910551051</v>
      </c>
      <c r="F5" s="474">
        <f>'Levy Budget 2020'!K6</f>
        <v>1.4825796886582653E-3</v>
      </c>
      <c r="G5" s="464">
        <f t="shared" ref="G5:G38" si="2">F5*B$2</f>
        <v>98.838645910551051</v>
      </c>
      <c r="H5" s="474">
        <f>'Levy Budget 2020'!N6</f>
        <v>0</v>
      </c>
      <c r="I5" s="464">
        <f t="shared" ref="I5:I38" si="3">H5*B$2</f>
        <v>0</v>
      </c>
      <c r="J5" s="474">
        <f>B5+D5+F5+H5</f>
        <v>2.8416110699283424E-2</v>
      </c>
      <c r="K5" s="471">
        <v>0</v>
      </c>
      <c r="L5" s="464">
        <f>'Levy Budget 2020'!AF6</f>
        <v>40</v>
      </c>
      <c r="M5" s="464">
        <f t="shared" ref="M5:M38" si="4">J5*F$2</f>
        <v>1129.8503490239686</v>
      </c>
      <c r="N5" s="464">
        <f>'Levy Budget 2020'!AD6</f>
        <v>1749.812237459847</v>
      </c>
      <c r="O5" s="464">
        <f>C5+E5+G5+I5+K5+L5+M5+N5</f>
        <v>4814.0699664360445</v>
      </c>
      <c r="P5" s="464">
        <f>'Levy Budget 2020'!AH6</f>
        <v>4814.0699664360436</v>
      </c>
      <c r="Q5" s="464">
        <f>O5-P5</f>
        <v>0</v>
      </c>
    </row>
    <row r="6" spans="1:17">
      <c r="A6" s="473" t="s">
        <v>155</v>
      </c>
      <c r="B6">
        <f>'Levy Budget 2020'!E7</f>
        <v>3.3852236224363723E-2</v>
      </c>
      <c r="C6" s="464">
        <f t="shared" si="0"/>
        <v>2256.8157482909155</v>
      </c>
      <c r="D6" s="474">
        <f>'Levy Budget 2020'!H7</f>
        <v>1.4825796886582653E-3</v>
      </c>
      <c r="E6" s="464">
        <f t="shared" si="1"/>
        <v>98.838645910551051</v>
      </c>
      <c r="F6" s="474">
        <f>'Levy Budget 2020'!K7</f>
        <v>0</v>
      </c>
      <c r="G6" s="464">
        <f t="shared" si="2"/>
        <v>0</v>
      </c>
      <c r="H6" s="474">
        <f>'Levy Budget 2020'!N7</f>
        <v>0</v>
      </c>
      <c r="I6" s="464">
        <f t="shared" si="3"/>
        <v>0</v>
      </c>
      <c r="J6" s="474">
        <f>B6+D6+F6+H6</f>
        <v>3.533481591302199E-2</v>
      </c>
      <c r="K6" s="471">
        <v>0</v>
      </c>
      <c r="L6" s="464">
        <f>'Levy Budget 2020'!AF7</f>
        <v>40</v>
      </c>
      <c r="M6" s="464">
        <f t="shared" si="4"/>
        <v>1404.9443470471954</v>
      </c>
      <c r="N6" s="464">
        <f>'Levy Budget 2020'!AD7</f>
        <v>2175.8534778848525</v>
      </c>
      <c r="O6" s="464">
        <f t="shared" ref="O6:O38" si="5">C6+E6+G6+I6+K6+L6+M6+N6</f>
        <v>5976.4522191335145</v>
      </c>
      <c r="P6" s="464">
        <f>'Levy Budget 2020'!AH7</f>
        <v>5976.4522191335136</v>
      </c>
      <c r="Q6" s="464">
        <f t="shared" ref="Q6:Q38" si="6">O6-P6</f>
        <v>0</v>
      </c>
    </row>
    <row r="7" spans="1:17">
      <c r="A7" s="473" t="s">
        <v>156</v>
      </c>
      <c r="B7">
        <f>'Levy Budget 2020'!E8</f>
        <v>3.0887076847047196E-2</v>
      </c>
      <c r="C7" s="464">
        <f t="shared" si="0"/>
        <v>2059.1384564698137</v>
      </c>
      <c r="D7" s="474">
        <f>'Levy Budget 2020'!H8</f>
        <v>1.4825796886582653E-3</v>
      </c>
      <c r="E7" s="464">
        <f t="shared" si="1"/>
        <v>98.838645910551051</v>
      </c>
      <c r="F7" s="474">
        <f>'Levy Budget 2020'!K8</f>
        <v>0</v>
      </c>
      <c r="G7" s="464">
        <f t="shared" si="2"/>
        <v>0</v>
      </c>
      <c r="H7" s="474">
        <f>'Levy Budget 2020'!N8</f>
        <v>0</v>
      </c>
      <c r="I7" s="464">
        <f t="shared" si="3"/>
        <v>0</v>
      </c>
      <c r="J7" s="474">
        <f t="shared" ref="J7:J33" si="7">B7+D7+F7+H7</f>
        <v>3.2369656535705463E-2</v>
      </c>
      <c r="K7" s="471">
        <v>0</v>
      </c>
      <c r="L7" s="464">
        <f>'Levy Budget 2020'!AF8</f>
        <v>40</v>
      </c>
      <c r="M7" s="464">
        <f t="shared" si="4"/>
        <v>1287.0469193229553</v>
      </c>
      <c r="N7" s="464">
        <f>'Levy Budget 2020'!AD8</f>
        <v>1993.2643748455646</v>
      </c>
      <c r="O7" s="464">
        <f t="shared" si="5"/>
        <v>5478.2883965488845</v>
      </c>
      <c r="P7" s="464">
        <f>'Levy Budget 2020'!AH8</f>
        <v>5478.2883965488845</v>
      </c>
      <c r="Q7" s="464">
        <f t="shared" si="6"/>
        <v>0</v>
      </c>
    </row>
    <row r="8" spans="1:17">
      <c r="A8" s="473" t="s">
        <v>157</v>
      </c>
      <c r="B8">
        <f>'Levy Budget 2020'!E9</f>
        <v>1.1860637509266123E-2</v>
      </c>
      <c r="C8" s="464">
        <f t="shared" si="0"/>
        <v>790.70916728440841</v>
      </c>
      <c r="D8" s="474">
        <f>'Levy Budget 2020'!H9</f>
        <v>0</v>
      </c>
      <c r="E8" s="464">
        <f t="shared" si="1"/>
        <v>0</v>
      </c>
      <c r="F8" s="474">
        <f>'Levy Budget 2020'!K9</f>
        <v>0</v>
      </c>
      <c r="G8" s="464">
        <f t="shared" si="2"/>
        <v>0</v>
      </c>
      <c r="H8" s="474">
        <f>'Levy Budget 2020'!N9</f>
        <v>0</v>
      </c>
      <c r="I8" s="464">
        <f t="shared" si="3"/>
        <v>0</v>
      </c>
      <c r="J8" s="474">
        <f t="shared" si="7"/>
        <v>1.1860637509266123E-2</v>
      </c>
      <c r="K8" s="471">
        <v>0</v>
      </c>
      <c r="L8" s="464">
        <f>'Levy Budget 2020'!AF9</f>
        <v>29.853105806770447</v>
      </c>
      <c r="M8" s="464">
        <f t="shared" si="4"/>
        <v>471.5897108969607</v>
      </c>
      <c r="N8" s="464">
        <f>'Levy Budget 2020'!AD9</f>
        <v>730.35641215715339</v>
      </c>
      <c r="O8" s="464">
        <f t="shared" si="5"/>
        <v>2022.5083961452929</v>
      </c>
      <c r="P8" s="464">
        <f>'Levy Budget 2020'!AH9</f>
        <v>2022.5083961452926</v>
      </c>
      <c r="Q8" s="464">
        <f t="shared" si="6"/>
        <v>0</v>
      </c>
    </row>
    <row r="9" spans="1:17">
      <c r="A9" s="470">
        <v>101</v>
      </c>
      <c r="B9">
        <f>'Levy Budget 2020'!E10</f>
        <v>3.3852236224363723E-2</v>
      </c>
      <c r="C9" s="464">
        <f t="shared" si="0"/>
        <v>2256.8157482909155</v>
      </c>
      <c r="D9" s="474">
        <f>'Levy Budget 2020'!H10</f>
        <v>0</v>
      </c>
      <c r="E9" s="464">
        <f t="shared" si="1"/>
        <v>0</v>
      </c>
      <c r="F9" s="474">
        <f>'Levy Budget 2020'!K10</f>
        <v>0</v>
      </c>
      <c r="G9" s="464">
        <f t="shared" si="2"/>
        <v>0</v>
      </c>
      <c r="H9" s="474">
        <f>'Levy Budget 2020'!N10</f>
        <v>0</v>
      </c>
      <c r="I9" s="464">
        <f t="shared" si="3"/>
        <v>0</v>
      </c>
      <c r="J9" s="474">
        <f t="shared" si="7"/>
        <v>3.3852236224363723E-2</v>
      </c>
      <c r="K9" s="471">
        <v>0</v>
      </c>
      <c r="L9" s="464">
        <f>'Levy Budget 2020'!AF10</f>
        <v>40</v>
      </c>
      <c r="M9" s="464">
        <f t="shared" si="4"/>
        <v>1345.9956331850753</v>
      </c>
      <c r="N9" s="464">
        <f>'Levy Budget 2020'!AD10</f>
        <v>2084.5589263652087</v>
      </c>
      <c r="O9" s="464">
        <f t="shared" si="5"/>
        <v>5727.3703078412</v>
      </c>
      <c r="P9" s="464">
        <f>'Levy Budget 2020'!AH10</f>
        <v>5727.3703078411991</v>
      </c>
      <c r="Q9" s="464">
        <f t="shared" si="6"/>
        <v>0</v>
      </c>
    </row>
    <row r="10" spans="1:17">
      <c r="A10" s="470">
        <v>102</v>
      </c>
      <c r="B10">
        <f>'Levy Budget 2020'!E11</f>
        <v>2.6933531010625154E-2</v>
      </c>
      <c r="C10" s="464">
        <f t="shared" si="0"/>
        <v>1795.5687340416775</v>
      </c>
      <c r="D10" s="474">
        <f>'Levy Budget 2020'!H11</f>
        <v>1.4825796886582653E-3</v>
      </c>
      <c r="E10" s="464">
        <f t="shared" si="1"/>
        <v>98.838645910551051</v>
      </c>
      <c r="F10" s="474">
        <f>'Levy Budget 2020'!K11</f>
        <v>0</v>
      </c>
      <c r="G10" s="464">
        <f t="shared" si="2"/>
        <v>0</v>
      </c>
      <c r="H10" s="474">
        <f>'Levy Budget 2020'!N11</f>
        <v>0</v>
      </c>
      <c r="I10" s="464">
        <f t="shared" si="3"/>
        <v>0</v>
      </c>
      <c r="J10" s="474">
        <f t="shared" si="7"/>
        <v>2.8416110699283417E-2</v>
      </c>
      <c r="K10" s="471">
        <f>154*1.1</f>
        <v>169.4</v>
      </c>
      <c r="L10" s="464">
        <f>'Levy Budget 2020'!AF11</f>
        <v>40</v>
      </c>
      <c r="M10" s="464">
        <f t="shared" si="4"/>
        <v>1129.8503490239682</v>
      </c>
      <c r="N10" s="464">
        <f>'Levy Budget 2020'!AD11</f>
        <v>1749.8122374598465</v>
      </c>
      <c r="O10" s="464">
        <f t="shared" si="5"/>
        <v>4983.4699664360433</v>
      </c>
      <c r="P10" s="464">
        <f>'Levy Budget 2020'!AH11</f>
        <v>4983.4699664360423</v>
      </c>
      <c r="Q10" s="464">
        <f t="shared" si="6"/>
        <v>0</v>
      </c>
    </row>
    <row r="11" spans="1:17">
      <c r="A11" s="470">
        <v>103</v>
      </c>
      <c r="B11">
        <f>'Levy Budget 2020'!E12</f>
        <v>3.8299975290338524E-2</v>
      </c>
      <c r="C11" s="464">
        <f t="shared" si="0"/>
        <v>2553.3316860225691</v>
      </c>
      <c r="D11" s="474">
        <f>'Levy Budget 2020'!H12</f>
        <v>1.4825796886582653E-3</v>
      </c>
      <c r="E11" s="464">
        <f t="shared" si="1"/>
        <v>98.838645910551051</v>
      </c>
      <c r="F11" s="474">
        <f>'Levy Budget 2020'!K12</f>
        <v>0</v>
      </c>
      <c r="G11" s="464">
        <f t="shared" si="2"/>
        <v>0</v>
      </c>
      <c r="H11" s="474">
        <f>'Levy Budget 2020'!N12</f>
        <v>0</v>
      </c>
      <c r="I11" s="464">
        <f t="shared" si="3"/>
        <v>0</v>
      </c>
      <c r="J11" s="474">
        <f t="shared" si="7"/>
        <v>3.9782554978996791E-2</v>
      </c>
      <c r="K11" s="471">
        <v>0</v>
      </c>
      <c r="L11" s="464">
        <f>'Levy Budget 2020'!AF12</f>
        <v>40</v>
      </c>
      <c r="M11" s="464">
        <f t="shared" si="4"/>
        <v>1581.7904886335559</v>
      </c>
      <c r="N11" s="464">
        <f>'Levy Budget 2020'!AD12</f>
        <v>2449.7371324437854</v>
      </c>
      <c r="O11" s="464">
        <f t="shared" si="5"/>
        <v>6723.6979530104609</v>
      </c>
      <c r="P11" s="464">
        <f>'Levy Budget 2020'!AH12</f>
        <v>6723.6979530104609</v>
      </c>
      <c r="Q11" s="464">
        <f t="shared" si="6"/>
        <v>0</v>
      </c>
    </row>
    <row r="12" spans="1:17">
      <c r="A12" s="470">
        <v>104</v>
      </c>
      <c r="B12">
        <f>'Levy Budget 2020'!E13</f>
        <v>3.4840622683469234E-2</v>
      </c>
      <c r="C12" s="464">
        <f t="shared" si="0"/>
        <v>2322.7081788979494</v>
      </c>
      <c r="D12" s="474">
        <f>'Levy Budget 2020'!H13</f>
        <v>1.4825796886582653E-3</v>
      </c>
      <c r="E12" s="464">
        <f t="shared" si="1"/>
        <v>98.838645910551051</v>
      </c>
      <c r="F12" s="474">
        <f>'Levy Budget 2020'!K13</f>
        <v>0</v>
      </c>
      <c r="G12" s="464">
        <f t="shared" si="2"/>
        <v>0</v>
      </c>
      <c r="H12" s="474">
        <f>'Levy Budget 2020'!N13</f>
        <v>0</v>
      </c>
      <c r="I12" s="464">
        <f t="shared" si="3"/>
        <v>0</v>
      </c>
      <c r="J12" s="474">
        <f t="shared" si="7"/>
        <v>3.6323202372127501E-2</v>
      </c>
      <c r="K12" s="471">
        <v>0</v>
      </c>
      <c r="L12" s="464">
        <f>'Levy Budget 2020'!AF13</f>
        <v>40</v>
      </c>
      <c r="M12" s="464">
        <f t="shared" si="4"/>
        <v>1444.2434896219422</v>
      </c>
      <c r="N12" s="464">
        <f>'Levy Budget 2020'!AD13</f>
        <v>2236.7165122312822</v>
      </c>
      <c r="O12" s="464">
        <f t="shared" si="5"/>
        <v>6142.5068266617254</v>
      </c>
      <c r="P12" s="464">
        <f>'Levy Budget 2020'!AH13</f>
        <v>6142.5068266617254</v>
      </c>
      <c r="Q12" s="464">
        <f t="shared" si="6"/>
        <v>0</v>
      </c>
    </row>
    <row r="13" spans="1:17">
      <c r="A13" s="470">
        <v>105</v>
      </c>
      <c r="B13">
        <f>'Levy Budget 2020'!E14</f>
        <v>1.4331603657029899E-2</v>
      </c>
      <c r="C13" s="464">
        <f t="shared" si="0"/>
        <v>955.44024380199357</v>
      </c>
      <c r="D13" s="474">
        <f>'Levy Budget 2020'!H14</f>
        <v>1.4825796886582653E-3</v>
      </c>
      <c r="E13" s="464">
        <f t="shared" si="1"/>
        <v>98.838645910551051</v>
      </c>
      <c r="F13" s="474">
        <f>'Levy Budget 2020'!K14</f>
        <v>0</v>
      </c>
      <c r="G13" s="464">
        <f t="shared" si="2"/>
        <v>0</v>
      </c>
      <c r="H13" s="474">
        <f>'Levy Budget 2020'!N14</f>
        <v>0</v>
      </c>
      <c r="I13" s="464">
        <f t="shared" si="3"/>
        <v>0</v>
      </c>
      <c r="J13" s="474">
        <f t="shared" si="7"/>
        <v>1.5814183345688165E-2</v>
      </c>
      <c r="K13" s="471">
        <v>0</v>
      </c>
      <c r="L13" s="464">
        <f>'Levy Budget 2020'!AF14</f>
        <v>40</v>
      </c>
      <c r="M13" s="464">
        <f t="shared" si="4"/>
        <v>628.78628119594771</v>
      </c>
      <c r="N13" s="464">
        <f>'Levy Budget 2020'!AD14</f>
        <v>973.80854954287122</v>
      </c>
      <c r="O13" s="464">
        <f t="shared" si="5"/>
        <v>2696.8737204513636</v>
      </c>
      <c r="P13" s="464">
        <f>'Levy Budget 2020'!AH14</f>
        <v>2696.8737204513636</v>
      </c>
      <c r="Q13" s="464">
        <f t="shared" si="6"/>
        <v>0</v>
      </c>
    </row>
    <row r="14" spans="1:17">
      <c r="A14" s="470">
        <v>106</v>
      </c>
      <c r="B14">
        <f>'Levy Budget 2020'!E15</f>
        <v>1.408450704225352E-2</v>
      </c>
      <c r="C14" s="464">
        <f t="shared" si="0"/>
        <v>938.96713615023486</v>
      </c>
      <c r="D14" s="474">
        <f>'Levy Budget 2020'!H15</f>
        <v>1.4825796886582653E-3</v>
      </c>
      <c r="E14" s="464">
        <f t="shared" si="1"/>
        <v>98.838645910551051</v>
      </c>
      <c r="F14" s="474">
        <f>'Levy Budget 2020'!K15</f>
        <v>0</v>
      </c>
      <c r="G14" s="464">
        <f t="shared" si="2"/>
        <v>0</v>
      </c>
      <c r="H14" s="474">
        <f>'Levy Budget 2020'!N15</f>
        <v>0</v>
      </c>
      <c r="I14" s="464">
        <f t="shared" si="3"/>
        <v>0</v>
      </c>
      <c r="J14" s="474">
        <f t="shared" si="7"/>
        <v>1.5567086730911785E-2</v>
      </c>
      <c r="K14" s="471">
        <v>0</v>
      </c>
      <c r="L14" s="464">
        <f>'Levy Budget 2020'!AF15</f>
        <v>40</v>
      </c>
      <c r="M14" s="464">
        <f t="shared" si="4"/>
        <v>618.96149555226089</v>
      </c>
      <c r="N14" s="464">
        <f>'Levy Budget 2020'!AD15</f>
        <v>958.59279095626368</v>
      </c>
      <c r="O14" s="464">
        <f t="shared" si="5"/>
        <v>2655.3600685693104</v>
      </c>
      <c r="P14" s="464">
        <f>'Levy Budget 2020'!AH15</f>
        <v>2655.3600685693104</v>
      </c>
      <c r="Q14" s="464">
        <f t="shared" si="6"/>
        <v>0</v>
      </c>
    </row>
    <row r="15" spans="1:17">
      <c r="A15" s="470">
        <v>201</v>
      </c>
      <c r="B15">
        <f>'Levy Budget 2020'!E16</f>
        <v>3.3852236224363723E-2</v>
      </c>
      <c r="C15" s="464">
        <f t="shared" si="0"/>
        <v>2256.8157482909155</v>
      </c>
      <c r="D15" s="474">
        <f>'Levy Budget 2020'!H16</f>
        <v>1.4825796886582653E-3</v>
      </c>
      <c r="E15" s="464">
        <f t="shared" si="1"/>
        <v>98.838645910551051</v>
      </c>
      <c r="F15" s="474">
        <f>'Levy Budget 2020'!K16</f>
        <v>0</v>
      </c>
      <c r="G15" s="464">
        <f t="shared" si="2"/>
        <v>0</v>
      </c>
      <c r="H15" s="474">
        <f>'Levy Budget 2020'!N16</f>
        <v>0</v>
      </c>
      <c r="I15" s="464">
        <f t="shared" si="3"/>
        <v>0</v>
      </c>
      <c r="J15" s="474">
        <f t="shared" si="7"/>
        <v>3.533481591302199E-2</v>
      </c>
      <c r="K15" s="471">
        <v>0</v>
      </c>
      <c r="L15" s="464">
        <f>'Levy Budget 2020'!AF16</f>
        <v>40</v>
      </c>
      <c r="M15" s="464">
        <f t="shared" si="4"/>
        <v>1404.9443470471954</v>
      </c>
      <c r="N15" s="464">
        <f>'Levy Budget 2020'!AD16</f>
        <v>2175.8534778848525</v>
      </c>
      <c r="O15" s="464">
        <f t="shared" si="5"/>
        <v>5976.4522191335145</v>
      </c>
      <c r="P15" s="464">
        <f>'Levy Budget 2020'!AH16</f>
        <v>5976.4522191335136</v>
      </c>
      <c r="Q15" s="464">
        <f t="shared" si="6"/>
        <v>0</v>
      </c>
    </row>
    <row r="16" spans="1:17">
      <c r="A16" s="470">
        <v>202</v>
      </c>
      <c r="B16">
        <f>'Levy Budget 2020'!E17</f>
        <v>2.6933531010625154E-2</v>
      </c>
      <c r="C16" s="464">
        <f t="shared" si="0"/>
        <v>1795.5687340416775</v>
      </c>
      <c r="D16" s="474">
        <f>'Levy Budget 2020'!H17</f>
        <v>1.4825796886582653E-3</v>
      </c>
      <c r="E16" s="464">
        <f t="shared" si="1"/>
        <v>98.838645910551051</v>
      </c>
      <c r="F16" s="474">
        <f>'Levy Budget 2020'!K17</f>
        <v>0</v>
      </c>
      <c r="G16" s="464">
        <f t="shared" si="2"/>
        <v>0</v>
      </c>
      <c r="H16" s="474">
        <f>'Levy Budget 2020'!N17</f>
        <v>0</v>
      </c>
      <c r="I16" s="464">
        <f t="shared" si="3"/>
        <v>0</v>
      </c>
      <c r="J16" s="474">
        <f t="shared" si="7"/>
        <v>2.8416110699283417E-2</v>
      </c>
      <c r="K16" s="471">
        <v>0</v>
      </c>
      <c r="L16" s="464">
        <f>'Levy Budget 2020'!AF17</f>
        <v>40</v>
      </c>
      <c r="M16" s="464">
        <f t="shared" si="4"/>
        <v>1129.8503490239682</v>
      </c>
      <c r="N16" s="464">
        <f>'Levy Budget 2020'!AD17</f>
        <v>1749.8122374598465</v>
      </c>
      <c r="O16" s="464">
        <f t="shared" si="5"/>
        <v>4814.0699664360436</v>
      </c>
      <c r="P16" s="464">
        <f>'Levy Budget 2020'!AH17</f>
        <v>4814.0699664360427</v>
      </c>
      <c r="Q16" s="464">
        <f t="shared" si="6"/>
        <v>0</v>
      </c>
    </row>
    <row r="17" spans="1:17">
      <c r="A17" s="470">
        <v>203</v>
      </c>
      <c r="B17">
        <f>'Levy Budget 2020'!E18</f>
        <v>3.8299975290338524E-2</v>
      </c>
      <c r="C17" s="464">
        <f t="shared" si="0"/>
        <v>2553.3316860225691</v>
      </c>
      <c r="D17" s="474">
        <f>'Levy Budget 2020'!H18</f>
        <v>1.4825796886582653E-3</v>
      </c>
      <c r="E17" s="464">
        <f t="shared" si="1"/>
        <v>98.838645910551051</v>
      </c>
      <c r="F17" s="474">
        <f>'Levy Budget 2020'!K18</f>
        <v>0</v>
      </c>
      <c r="G17" s="464">
        <f t="shared" si="2"/>
        <v>0</v>
      </c>
      <c r="H17" s="474">
        <f>'Levy Budget 2020'!N18</f>
        <v>0</v>
      </c>
      <c r="I17" s="464">
        <f t="shared" si="3"/>
        <v>0</v>
      </c>
      <c r="J17" s="474">
        <f t="shared" si="7"/>
        <v>3.9782554978996791E-2</v>
      </c>
      <c r="K17" s="471">
        <f>154*1.1</f>
        <v>169.4</v>
      </c>
      <c r="L17" s="464">
        <f>'Levy Budget 2020'!AF18</f>
        <v>40</v>
      </c>
      <c r="M17" s="464">
        <f t="shared" si="4"/>
        <v>1581.7904886335559</v>
      </c>
      <c r="N17" s="464">
        <f>'Levy Budget 2020'!AD18</f>
        <v>2449.7371324437854</v>
      </c>
      <c r="O17" s="464">
        <f t="shared" si="5"/>
        <v>6893.0979530104614</v>
      </c>
      <c r="P17" s="464">
        <f>'Levy Budget 2020'!AH18</f>
        <v>6893.0979530104605</v>
      </c>
      <c r="Q17" s="464">
        <f t="shared" si="6"/>
        <v>0</v>
      </c>
    </row>
    <row r="18" spans="1:17">
      <c r="A18" s="470">
        <v>204</v>
      </c>
      <c r="B18">
        <f>'Levy Budget 2020'!E19</f>
        <v>3.4840622683469234E-2</v>
      </c>
      <c r="C18" s="464">
        <f t="shared" si="0"/>
        <v>2322.7081788979494</v>
      </c>
      <c r="D18" s="474">
        <f>'Levy Budget 2020'!H19</f>
        <v>1.4825796886582653E-3</v>
      </c>
      <c r="E18" s="464">
        <f t="shared" si="1"/>
        <v>98.838645910551051</v>
      </c>
      <c r="F18" s="474">
        <f>'Levy Budget 2020'!K19</f>
        <v>1.729676303434643E-3</v>
      </c>
      <c r="G18" s="464">
        <f t="shared" si="2"/>
        <v>115.31175356230956</v>
      </c>
      <c r="H18" s="474">
        <f>'Levy Budget 2020'!N19</f>
        <v>9.8838645910551033E-3</v>
      </c>
      <c r="I18" s="464">
        <f t="shared" si="3"/>
        <v>658.92430607034044</v>
      </c>
      <c r="J18" s="474">
        <f t="shared" si="7"/>
        <v>4.7936743266617246E-2</v>
      </c>
      <c r="K18" s="471">
        <v>0</v>
      </c>
      <c r="L18" s="464">
        <f>'Levy Budget 2020'!AF19</f>
        <v>40</v>
      </c>
      <c r="M18" s="464">
        <f t="shared" si="4"/>
        <v>1906.0084148752162</v>
      </c>
      <c r="N18" s="464">
        <f>'Levy Budget 2020'!AD19</f>
        <v>2951.8571658018286</v>
      </c>
      <c r="O18" s="464">
        <f t="shared" si="5"/>
        <v>8093.6484651181945</v>
      </c>
      <c r="P18" s="464">
        <f>'Levy Budget 2020'!AH19</f>
        <v>8093.6484651181963</v>
      </c>
      <c r="Q18" s="464">
        <f t="shared" si="6"/>
        <v>0</v>
      </c>
    </row>
    <row r="19" spans="1:17">
      <c r="A19" s="470">
        <v>205</v>
      </c>
      <c r="B19">
        <f>'Levy Budget 2020'!E20</f>
        <v>1.4331603657029899E-2</v>
      </c>
      <c r="C19" s="464">
        <f t="shared" si="0"/>
        <v>955.44024380199357</v>
      </c>
      <c r="D19" s="474">
        <f>'Levy Budget 2020'!H20</f>
        <v>1.4825796886582653E-3</v>
      </c>
      <c r="E19" s="464">
        <f t="shared" si="1"/>
        <v>98.838645910551051</v>
      </c>
      <c r="F19" s="474">
        <f>'Levy Budget 2020'!K20</f>
        <v>0</v>
      </c>
      <c r="G19" s="464">
        <f t="shared" si="2"/>
        <v>0</v>
      </c>
      <c r="H19" s="474">
        <f>'Levy Budget 2020'!N20</f>
        <v>0</v>
      </c>
      <c r="I19" s="464">
        <f t="shared" si="3"/>
        <v>0</v>
      </c>
      <c r="J19" s="474">
        <f t="shared" si="7"/>
        <v>1.5814183345688165E-2</v>
      </c>
      <c r="K19" s="471">
        <v>0</v>
      </c>
      <c r="L19" s="464">
        <f>'Levy Budget 2020'!AF20</f>
        <v>40</v>
      </c>
      <c r="M19" s="464">
        <f t="shared" si="4"/>
        <v>628.78628119594771</v>
      </c>
      <c r="N19" s="464">
        <f>'Levy Budget 2020'!AD20</f>
        <v>973.80854954287122</v>
      </c>
      <c r="O19" s="464">
        <f t="shared" si="5"/>
        <v>2696.8737204513636</v>
      </c>
      <c r="P19" s="464">
        <f>'Levy Budget 2020'!AH20</f>
        <v>2696.8737204513636</v>
      </c>
      <c r="Q19" s="464">
        <f t="shared" si="6"/>
        <v>0</v>
      </c>
    </row>
    <row r="20" spans="1:17">
      <c r="A20" s="470">
        <v>206</v>
      </c>
      <c r="B20">
        <f>'Levy Budget 2020'!E21</f>
        <v>1.408450704225352E-2</v>
      </c>
      <c r="C20" s="464">
        <f t="shared" si="0"/>
        <v>938.96713615023486</v>
      </c>
      <c r="D20" s="474">
        <f>'Levy Budget 2020'!H21</f>
        <v>0</v>
      </c>
      <c r="E20" s="464">
        <f t="shared" si="1"/>
        <v>0</v>
      </c>
      <c r="F20" s="474">
        <f>'Levy Budget 2020'!K21</f>
        <v>0</v>
      </c>
      <c r="G20" s="464">
        <f t="shared" si="2"/>
        <v>0</v>
      </c>
      <c r="H20" s="474">
        <f>'Levy Budget 2020'!N21</f>
        <v>0</v>
      </c>
      <c r="I20" s="464">
        <f t="shared" si="3"/>
        <v>0</v>
      </c>
      <c r="J20" s="474">
        <f t="shared" si="7"/>
        <v>1.408450704225352E-2</v>
      </c>
      <c r="K20" s="471">
        <v>0</v>
      </c>
      <c r="L20" s="464">
        <f>'Levy Budget 2020'!AF21</f>
        <v>37.325563145539903</v>
      </c>
      <c r="M20" s="464">
        <f t="shared" si="4"/>
        <v>560.01278169014086</v>
      </c>
      <c r="N20" s="464">
        <f>'Levy Budget 2020'!AD21</f>
        <v>867.29823943661961</v>
      </c>
      <c r="O20" s="464">
        <f t="shared" si="5"/>
        <v>2403.6037204225354</v>
      </c>
      <c r="P20" s="464">
        <f>'Levy Budget 2020'!AH21</f>
        <v>2403.6037204225349</v>
      </c>
      <c r="Q20" s="464">
        <f t="shared" si="6"/>
        <v>0</v>
      </c>
    </row>
    <row r="21" spans="1:17">
      <c r="A21" s="470">
        <v>301</v>
      </c>
      <c r="B21">
        <f>'Levy Budget 2020'!E22</f>
        <v>3.3852236224363723E-2</v>
      </c>
      <c r="C21" s="464">
        <f t="shared" si="0"/>
        <v>2256.8157482909155</v>
      </c>
      <c r="D21" s="474">
        <f>'Levy Budget 2020'!H22</f>
        <v>1.4825796886582653E-3</v>
      </c>
      <c r="E21" s="464">
        <f t="shared" si="1"/>
        <v>98.838645910551051</v>
      </c>
      <c r="F21" s="474">
        <f>'Levy Budget 2020'!K22</f>
        <v>0</v>
      </c>
      <c r="G21" s="464">
        <f t="shared" si="2"/>
        <v>0</v>
      </c>
      <c r="H21" s="474">
        <f>'Levy Budget 2020'!N22</f>
        <v>0</v>
      </c>
      <c r="I21" s="464">
        <f t="shared" si="3"/>
        <v>0</v>
      </c>
      <c r="J21" s="474">
        <f t="shared" si="7"/>
        <v>3.533481591302199E-2</v>
      </c>
      <c r="K21" s="471">
        <v>0</v>
      </c>
      <c r="L21" s="464">
        <f>'Levy Budget 2020'!AF22</f>
        <v>40</v>
      </c>
      <c r="M21" s="464">
        <f t="shared" si="4"/>
        <v>1404.9443470471954</v>
      </c>
      <c r="N21" s="464">
        <f>'Levy Budget 2020'!AD22</f>
        <v>2175.8534778848525</v>
      </c>
      <c r="O21" s="464">
        <f t="shared" si="5"/>
        <v>5976.4522191335145</v>
      </c>
      <c r="P21" s="464">
        <f>'Levy Budget 2020'!AH22</f>
        <v>5976.4522191335136</v>
      </c>
      <c r="Q21" s="464">
        <f t="shared" si="6"/>
        <v>0</v>
      </c>
    </row>
    <row r="22" spans="1:17">
      <c r="A22" s="470">
        <v>302</v>
      </c>
      <c r="B22">
        <f>'Levy Budget 2020'!E23</f>
        <v>2.6933531010625154E-2</v>
      </c>
      <c r="C22" s="464">
        <f t="shared" si="0"/>
        <v>1795.5687340416775</v>
      </c>
      <c r="D22" s="474">
        <f>'Levy Budget 2020'!H23</f>
        <v>1.4825796886582653E-3</v>
      </c>
      <c r="E22" s="464">
        <f t="shared" si="1"/>
        <v>98.838645910551051</v>
      </c>
      <c r="F22" s="474">
        <f>'Levy Budget 2020'!K23</f>
        <v>0</v>
      </c>
      <c r="G22" s="464">
        <f t="shared" si="2"/>
        <v>0</v>
      </c>
      <c r="H22" s="474">
        <f>'Levy Budget 2020'!N23</f>
        <v>0</v>
      </c>
      <c r="I22" s="464">
        <f t="shared" si="3"/>
        <v>0</v>
      </c>
      <c r="J22" s="474">
        <f t="shared" si="7"/>
        <v>2.8416110699283417E-2</v>
      </c>
      <c r="K22" s="471">
        <v>0</v>
      </c>
      <c r="L22" s="464">
        <f>'Levy Budget 2020'!AF23</f>
        <v>40</v>
      </c>
      <c r="M22" s="464">
        <f t="shared" si="4"/>
        <v>1129.8503490239682</v>
      </c>
      <c r="N22" s="464">
        <f>'Levy Budget 2020'!AD23</f>
        <v>1749.8122374598465</v>
      </c>
      <c r="O22" s="464">
        <f t="shared" si="5"/>
        <v>4814.0699664360436</v>
      </c>
      <c r="P22" s="464">
        <f>'Levy Budget 2020'!AH23</f>
        <v>4814.0699664360427</v>
      </c>
      <c r="Q22" s="464">
        <f t="shared" si="6"/>
        <v>0</v>
      </c>
    </row>
    <row r="23" spans="1:17">
      <c r="A23" s="470">
        <v>303</v>
      </c>
      <c r="B23">
        <f>'Levy Budget 2020'!E24</f>
        <v>3.8299975290338524E-2</v>
      </c>
      <c r="C23" s="464">
        <f t="shared" si="0"/>
        <v>2553.3316860225691</v>
      </c>
      <c r="D23" s="474">
        <f>'Levy Budget 2020'!H24</f>
        <v>1.4825796886582653E-3</v>
      </c>
      <c r="E23" s="464">
        <f t="shared" si="1"/>
        <v>98.838645910551051</v>
      </c>
      <c r="F23" s="474">
        <f>'Levy Budget 2020'!K24</f>
        <v>0</v>
      </c>
      <c r="G23" s="464">
        <f t="shared" si="2"/>
        <v>0</v>
      </c>
      <c r="H23" s="474">
        <f>'Levy Budget 2020'!N24</f>
        <v>7.4128984432913266E-3</v>
      </c>
      <c r="I23" s="464">
        <f t="shared" si="3"/>
        <v>494.19322955275527</v>
      </c>
      <c r="J23" s="474">
        <f t="shared" si="7"/>
        <v>4.7195453422288119E-2</v>
      </c>
      <c r="K23" s="471">
        <v>0</v>
      </c>
      <c r="L23" s="464">
        <f>'Levy Budget 2020'!AF24</f>
        <v>40</v>
      </c>
      <c r="M23" s="464">
        <f t="shared" si="4"/>
        <v>1876.5340579441563</v>
      </c>
      <c r="N23" s="464">
        <f>'Levy Budget 2020'!AD24</f>
        <v>2906.2098900420065</v>
      </c>
      <c r="O23" s="464">
        <f t="shared" si="5"/>
        <v>7969.1075094720381</v>
      </c>
      <c r="P23" s="464">
        <f>'Levy Budget 2020'!AH24</f>
        <v>7969.1075094720381</v>
      </c>
      <c r="Q23" s="464">
        <f t="shared" si="6"/>
        <v>0</v>
      </c>
    </row>
    <row r="24" spans="1:17">
      <c r="A24" s="470">
        <v>304</v>
      </c>
      <c r="B24">
        <f>'Levy Budget 2020'!E25</f>
        <v>3.4840622683469234E-2</v>
      </c>
      <c r="C24" s="464">
        <f t="shared" si="0"/>
        <v>2322.7081788979494</v>
      </c>
      <c r="D24" s="474">
        <f>'Levy Budget 2020'!H25</f>
        <v>0</v>
      </c>
      <c r="E24" s="464">
        <f t="shared" si="1"/>
        <v>0</v>
      </c>
      <c r="F24" s="474">
        <f>'Levy Budget 2020'!K25</f>
        <v>0</v>
      </c>
      <c r="G24" s="464">
        <f t="shared" si="2"/>
        <v>0</v>
      </c>
      <c r="H24" s="474">
        <f>'Levy Budget 2020'!N25</f>
        <v>0</v>
      </c>
      <c r="I24" s="464">
        <f t="shared" si="3"/>
        <v>0</v>
      </c>
      <c r="J24" s="474">
        <f t="shared" si="7"/>
        <v>3.4840622683469234E-2</v>
      </c>
      <c r="K24" s="471">
        <v>0</v>
      </c>
      <c r="L24" s="464">
        <f>'Levy Budget 2020'!AF25</f>
        <v>40</v>
      </c>
      <c r="M24" s="464">
        <f t="shared" si="4"/>
        <v>1385.294775759822</v>
      </c>
      <c r="N24" s="464">
        <f>'Levy Budget 2020'!AD25</f>
        <v>2145.4219607116379</v>
      </c>
      <c r="O24" s="464">
        <f t="shared" si="5"/>
        <v>5893.4249153694091</v>
      </c>
      <c r="P24" s="464">
        <f>'Levy Budget 2020'!AH25</f>
        <v>5893.4249153694091</v>
      </c>
      <c r="Q24" s="464">
        <f t="shared" si="6"/>
        <v>0</v>
      </c>
    </row>
    <row r="25" spans="1:17">
      <c r="A25" s="470">
        <v>305</v>
      </c>
      <c r="B25">
        <f>'Levy Budget 2020'!E26</f>
        <v>1.4331603657029899E-2</v>
      </c>
      <c r="C25" s="464">
        <f t="shared" si="0"/>
        <v>955.44024380199357</v>
      </c>
      <c r="D25" s="474">
        <f>'Levy Budget 2020'!H26</f>
        <v>0</v>
      </c>
      <c r="E25" s="464">
        <f t="shared" si="1"/>
        <v>0</v>
      </c>
      <c r="F25" s="474">
        <f>'Levy Budget 2020'!K26</f>
        <v>0</v>
      </c>
      <c r="G25" s="464">
        <f t="shared" si="2"/>
        <v>0</v>
      </c>
      <c r="H25" s="474">
        <f>'Levy Budget 2020'!N26</f>
        <v>0</v>
      </c>
      <c r="I25" s="464">
        <f t="shared" si="3"/>
        <v>0</v>
      </c>
      <c r="J25" s="474">
        <f t="shared" si="7"/>
        <v>1.4331603657029899E-2</v>
      </c>
      <c r="K25" s="471">
        <v>0</v>
      </c>
      <c r="L25" s="464">
        <f>'Levy Budget 2020'!AF26</f>
        <v>38.155836183180966</v>
      </c>
      <c r="M25" s="464">
        <f t="shared" si="4"/>
        <v>569.83756733382756</v>
      </c>
      <c r="N25" s="464">
        <f>'Levy Budget 2020'!AD26</f>
        <v>882.51399802322703</v>
      </c>
      <c r="O25" s="464">
        <f t="shared" si="5"/>
        <v>2445.9476453422294</v>
      </c>
      <c r="P25" s="464">
        <f>'Levy Budget 2020'!AH26</f>
        <v>2445.947645342229</v>
      </c>
      <c r="Q25" s="464">
        <f t="shared" si="6"/>
        <v>0</v>
      </c>
    </row>
    <row r="26" spans="1:17">
      <c r="A26" s="470">
        <v>306</v>
      </c>
      <c r="B26">
        <f>'Levy Budget 2020'!E27</f>
        <v>1.408450704225352E-2</v>
      </c>
      <c r="C26" s="464">
        <f t="shared" si="0"/>
        <v>938.96713615023486</v>
      </c>
      <c r="D26" s="474">
        <f>'Levy Budget 2020'!H27</f>
        <v>1.4825796886582653E-3</v>
      </c>
      <c r="E26" s="464">
        <f t="shared" si="1"/>
        <v>98.838645910551051</v>
      </c>
      <c r="F26" s="474">
        <f>'Levy Budget 2020'!K27</f>
        <v>0</v>
      </c>
      <c r="G26" s="464">
        <f t="shared" si="2"/>
        <v>0</v>
      </c>
      <c r="H26" s="474">
        <f>'Levy Budget 2020'!N27</f>
        <v>0</v>
      </c>
      <c r="I26" s="464">
        <f t="shared" si="3"/>
        <v>0</v>
      </c>
      <c r="J26" s="474">
        <f t="shared" si="7"/>
        <v>1.5567086730911785E-2</v>
      </c>
      <c r="K26" s="471">
        <v>0</v>
      </c>
      <c r="L26" s="464">
        <f>'Levy Budget 2020'!AF27</f>
        <v>40</v>
      </c>
      <c r="M26" s="464">
        <f t="shared" si="4"/>
        <v>618.96149555226089</v>
      </c>
      <c r="N26" s="464">
        <f>'Levy Budget 2020'!AD27</f>
        <v>958.59279095626368</v>
      </c>
      <c r="O26" s="464">
        <f t="shared" si="5"/>
        <v>2655.3600685693104</v>
      </c>
      <c r="P26" s="464">
        <f>'Levy Budget 2020'!AH27</f>
        <v>2655.3600685693104</v>
      </c>
      <c r="Q26" s="464">
        <f t="shared" si="6"/>
        <v>0</v>
      </c>
    </row>
    <row r="27" spans="1:17">
      <c r="A27" s="470">
        <v>401</v>
      </c>
      <c r="B27">
        <f>'Levy Budget 2020'!E28</f>
        <v>3.3852236224363723E-2</v>
      </c>
      <c r="C27" s="464">
        <f t="shared" si="0"/>
        <v>2256.8157482909155</v>
      </c>
      <c r="D27" s="474">
        <f>'Levy Budget 2020'!H28</f>
        <v>0</v>
      </c>
      <c r="E27" s="464">
        <f t="shared" si="1"/>
        <v>0</v>
      </c>
      <c r="F27" s="474">
        <f>'Levy Budget 2020'!K28</f>
        <v>0</v>
      </c>
      <c r="G27" s="464">
        <f t="shared" si="2"/>
        <v>0</v>
      </c>
      <c r="H27" s="474">
        <f>'Levy Budget 2020'!N28</f>
        <v>0</v>
      </c>
      <c r="I27" s="464">
        <f t="shared" si="3"/>
        <v>0</v>
      </c>
      <c r="J27" s="474">
        <f t="shared" si="7"/>
        <v>3.3852236224363723E-2</v>
      </c>
      <c r="K27" s="471">
        <v>0</v>
      </c>
      <c r="L27" s="464">
        <f>'Levy Budget 2020'!AF28</f>
        <v>40</v>
      </c>
      <c r="M27" s="464">
        <f t="shared" si="4"/>
        <v>1345.9956331850753</v>
      </c>
      <c r="N27" s="464">
        <f>'Levy Budget 2020'!AD28</f>
        <v>2084.5589263652087</v>
      </c>
      <c r="O27" s="464">
        <f t="shared" si="5"/>
        <v>5727.3703078412</v>
      </c>
      <c r="P27" s="464">
        <f>'Levy Budget 2020'!AH28</f>
        <v>5727.3703078411991</v>
      </c>
      <c r="Q27" s="464">
        <f t="shared" si="6"/>
        <v>0</v>
      </c>
    </row>
    <row r="28" spans="1:17">
      <c r="A28" s="470">
        <v>402</v>
      </c>
      <c r="B28">
        <f>'Levy Budget 2020'!E29</f>
        <v>2.6933531010625154E-2</v>
      </c>
      <c r="C28" s="464">
        <f t="shared" si="0"/>
        <v>1795.5687340416775</v>
      </c>
      <c r="D28" s="474">
        <f>'Levy Budget 2020'!H29</f>
        <v>1.4825796886582653E-3</v>
      </c>
      <c r="E28" s="464">
        <f t="shared" si="1"/>
        <v>98.838645910551051</v>
      </c>
      <c r="F28" s="474">
        <f>'Levy Budget 2020'!K29</f>
        <v>0</v>
      </c>
      <c r="G28" s="464">
        <f t="shared" si="2"/>
        <v>0</v>
      </c>
      <c r="H28" s="474">
        <f>'Levy Budget 2020'!N29</f>
        <v>0</v>
      </c>
      <c r="I28" s="464">
        <f t="shared" si="3"/>
        <v>0</v>
      </c>
      <c r="J28" s="474">
        <f t="shared" si="7"/>
        <v>2.8416110699283417E-2</v>
      </c>
      <c r="K28" s="471">
        <v>0</v>
      </c>
      <c r="L28" s="464">
        <f>'Levy Budget 2020'!AF29</f>
        <v>40</v>
      </c>
      <c r="M28" s="464">
        <f t="shared" si="4"/>
        <v>1129.8503490239682</v>
      </c>
      <c r="N28" s="464">
        <f>'Levy Budget 2020'!AD29</f>
        <v>1749.8122374598465</v>
      </c>
      <c r="O28" s="464">
        <f t="shared" si="5"/>
        <v>4814.0699664360436</v>
      </c>
      <c r="P28" s="464">
        <f>'Levy Budget 2020'!AH29</f>
        <v>4814.0699664360427</v>
      </c>
      <c r="Q28" s="464">
        <f t="shared" si="6"/>
        <v>0</v>
      </c>
    </row>
    <row r="29" spans="1:17">
      <c r="A29" s="470">
        <v>403</v>
      </c>
      <c r="B29">
        <f>'Levy Budget 2020'!E30</f>
        <v>3.8299975290338524E-2</v>
      </c>
      <c r="C29" s="464">
        <f t="shared" si="0"/>
        <v>2553.3316860225691</v>
      </c>
      <c r="D29" s="474">
        <f>'Levy Budget 2020'!H30</f>
        <v>1.4825796886582653E-3</v>
      </c>
      <c r="E29" s="464">
        <f t="shared" si="1"/>
        <v>98.838645910551051</v>
      </c>
      <c r="F29" s="474">
        <f>'Levy Budget 2020'!K30</f>
        <v>0</v>
      </c>
      <c r="G29" s="464">
        <f t="shared" si="2"/>
        <v>0</v>
      </c>
      <c r="H29" s="474">
        <f>'Levy Budget 2020'!N30</f>
        <v>0</v>
      </c>
      <c r="I29" s="464">
        <f t="shared" si="3"/>
        <v>0</v>
      </c>
      <c r="J29" s="474">
        <f t="shared" si="7"/>
        <v>3.9782554978996791E-2</v>
      </c>
      <c r="K29" s="471">
        <f>154*1.1</f>
        <v>169.4</v>
      </c>
      <c r="L29" s="464">
        <f>'Levy Budget 2020'!AF30</f>
        <v>40</v>
      </c>
      <c r="M29" s="464">
        <f t="shared" si="4"/>
        <v>1581.7904886335559</v>
      </c>
      <c r="N29" s="464">
        <f>'Levy Budget 2020'!AD30</f>
        <v>2449.7371324437854</v>
      </c>
      <c r="O29" s="464">
        <f t="shared" si="5"/>
        <v>6893.0979530104614</v>
      </c>
      <c r="P29" s="464">
        <f>'Levy Budget 2020'!AH30</f>
        <v>6893.0979530104605</v>
      </c>
      <c r="Q29" s="464">
        <f t="shared" si="6"/>
        <v>0</v>
      </c>
    </row>
    <row r="30" spans="1:17">
      <c r="A30" s="470">
        <v>404</v>
      </c>
      <c r="B30">
        <f>'Levy Budget 2020'!E31</f>
        <v>3.4840622683469234E-2</v>
      </c>
      <c r="C30" s="464">
        <f t="shared" si="0"/>
        <v>2322.7081788979494</v>
      </c>
      <c r="D30" s="474">
        <f>'Levy Budget 2020'!H31</f>
        <v>0</v>
      </c>
      <c r="E30" s="464">
        <f t="shared" si="1"/>
        <v>0</v>
      </c>
      <c r="F30" s="474">
        <f>'Levy Budget 2020'!K31</f>
        <v>0</v>
      </c>
      <c r="G30" s="464">
        <f t="shared" si="2"/>
        <v>0</v>
      </c>
      <c r="H30" s="474">
        <f>'Levy Budget 2020'!N31</f>
        <v>0</v>
      </c>
      <c r="I30" s="464">
        <f t="shared" si="3"/>
        <v>0</v>
      </c>
      <c r="J30" s="474">
        <f t="shared" si="7"/>
        <v>3.4840622683469234E-2</v>
      </c>
      <c r="K30" s="471">
        <v>0</v>
      </c>
      <c r="L30" s="464">
        <f>'Levy Budget 2020'!AF31</f>
        <v>40</v>
      </c>
      <c r="M30" s="464">
        <f t="shared" si="4"/>
        <v>1385.294775759822</v>
      </c>
      <c r="N30" s="464">
        <f>'Levy Budget 2020'!AD31</f>
        <v>2145.4219607116379</v>
      </c>
      <c r="O30" s="464">
        <f t="shared" si="5"/>
        <v>5893.4249153694091</v>
      </c>
      <c r="P30" s="464">
        <f>'Levy Budget 2020'!AH31</f>
        <v>5893.4249153694091</v>
      </c>
      <c r="Q30" s="464">
        <f t="shared" si="6"/>
        <v>0</v>
      </c>
    </row>
    <row r="31" spans="1:17">
      <c r="A31" s="470">
        <v>405</v>
      </c>
      <c r="B31">
        <f>'Levy Budget 2020'!E32</f>
        <v>1.4331603657029899E-2</v>
      </c>
      <c r="C31" s="464">
        <f t="shared" si="0"/>
        <v>955.44024380199357</v>
      </c>
      <c r="D31" s="474">
        <f>'Levy Budget 2020'!H32</f>
        <v>0</v>
      </c>
      <c r="E31" s="464">
        <f t="shared" si="1"/>
        <v>0</v>
      </c>
      <c r="F31" s="474">
        <f>'Levy Budget 2020'!K32</f>
        <v>0</v>
      </c>
      <c r="G31" s="464">
        <f t="shared" si="2"/>
        <v>0</v>
      </c>
      <c r="H31" s="474">
        <f>'Levy Budget 2020'!N32</f>
        <v>0</v>
      </c>
      <c r="I31" s="464">
        <f t="shared" si="3"/>
        <v>0</v>
      </c>
      <c r="J31" s="474">
        <f t="shared" si="7"/>
        <v>1.4331603657029899E-2</v>
      </c>
      <c r="K31" s="471">
        <v>0</v>
      </c>
      <c r="L31" s="464">
        <f>'Levy Budget 2020'!AF32</f>
        <v>38.155836183180966</v>
      </c>
      <c r="M31" s="464">
        <f t="shared" si="4"/>
        <v>569.83756733382756</v>
      </c>
      <c r="N31" s="464">
        <f>'Levy Budget 2020'!AD32</f>
        <v>882.51399802322703</v>
      </c>
      <c r="O31" s="464">
        <f t="shared" si="5"/>
        <v>2445.9476453422294</v>
      </c>
      <c r="P31" s="464">
        <f>'Levy Budget 2020'!AH32</f>
        <v>2445.947645342229</v>
      </c>
      <c r="Q31" s="464">
        <f t="shared" si="6"/>
        <v>0</v>
      </c>
    </row>
    <row r="32" spans="1:17">
      <c r="A32" s="470">
        <v>406</v>
      </c>
      <c r="B32">
        <f>'Levy Budget 2020'!E33</f>
        <v>1.408450704225352E-2</v>
      </c>
      <c r="C32" s="464">
        <f t="shared" si="0"/>
        <v>938.96713615023486</v>
      </c>
      <c r="D32" s="474">
        <f>'Levy Budget 2020'!H33</f>
        <v>1.4825796886582653E-3</v>
      </c>
      <c r="E32" s="464">
        <f t="shared" si="1"/>
        <v>98.838645910551051</v>
      </c>
      <c r="F32" s="474">
        <f>'Levy Budget 2020'!K33</f>
        <v>0</v>
      </c>
      <c r="G32" s="464">
        <f t="shared" si="2"/>
        <v>0</v>
      </c>
      <c r="H32" s="474">
        <f>'Levy Budget 2020'!N33</f>
        <v>0</v>
      </c>
      <c r="I32" s="464">
        <f t="shared" si="3"/>
        <v>0</v>
      </c>
      <c r="J32" s="474">
        <f t="shared" si="7"/>
        <v>1.5567086730911785E-2</v>
      </c>
      <c r="K32" s="471">
        <v>0</v>
      </c>
      <c r="L32" s="464">
        <f>'Levy Budget 2020'!AF33</f>
        <v>40</v>
      </c>
      <c r="M32" s="464">
        <f t="shared" si="4"/>
        <v>618.96149555226089</v>
      </c>
      <c r="N32" s="464">
        <f>'Levy Budget 2020'!AD33</f>
        <v>958.59279095626368</v>
      </c>
      <c r="O32" s="464">
        <f t="shared" si="5"/>
        <v>2655.3600685693104</v>
      </c>
      <c r="P32" s="464">
        <f>'Levy Budget 2020'!AH33</f>
        <v>2655.3600685693104</v>
      </c>
      <c r="Q32" s="464">
        <f t="shared" si="6"/>
        <v>0</v>
      </c>
    </row>
    <row r="33" spans="1:17">
      <c r="A33" s="470">
        <v>501</v>
      </c>
      <c r="B33">
        <f>'Levy Budget 2020'!E34</f>
        <v>3.3852236224363723E-2</v>
      </c>
      <c r="C33" s="464">
        <f t="shared" si="0"/>
        <v>2256.8157482909155</v>
      </c>
      <c r="D33" s="474">
        <f>'Levy Budget 2020'!H34</f>
        <v>1.4825796886582653E-3</v>
      </c>
      <c r="E33" s="464">
        <f t="shared" si="1"/>
        <v>98.838645910551051</v>
      </c>
      <c r="F33" s="474">
        <f>'Levy Budget 2020'!K34</f>
        <v>0</v>
      </c>
      <c r="G33" s="464">
        <f t="shared" si="2"/>
        <v>0</v>
      </c>
      <c r="H33" s="474">
        <f>'Levy Budget 2020'!N34</f>
        <v>0</v>
      </c>
      <c r="I33" s="464">
        <f t="shared" si="3"/>
        <v>0</v>
      </c>
      <c r="J33" s="474">
        <f t="shared" si="7"/>
        <v>3.533481591302199E-2</v>
      </c>
      <c r="K33" s="471">
        <f>154*1.1</f>
        <v>169.4</v>
      </c>
      <c r="L33" s="464">
        <f>'Levy Budget 2020'!AF34</f>
        <v>40</v>
      </c>
      <c r="M33" s="464">
        <f t="shared" si="4"/>
        <v>1404.9443470471954</v>
      </c>
      <c r="N33" s="464">
        <f>'Levy Budget 2020'!AD34</f>
        <v>2175.8534778848525</v>
      </c>
      <c r="O33" s="464">
        <f t="shared" si="5"/>
        <v>6145.8522191335142</v>
      </c>
      <c r="P33" s="464">
        <f>'Levy Budget 2020'!AH34</f>
        <v>6145.8522191335132</v>
      </c>
      <c r="Q33" s="464">
        <f t="shared" si="6"/>
        <v>0</v>
      </c>
    </row>
    <row r="34" spans="1:17">
      <c r="A34" s="470">
        <v>502</v>
      </c>
      <c r="B34">
        <f>'Levy Budget 2020'!E35</f>
        <v>2.6686434395848776E-2</v>
      </c>
      <c r="C34" s="464">
        <f t="shared" si="0"/>
        <v>1779.0956263899188</v>
      </c>
      <c r="D34" s="474">
        <f>'Levy Budget 2020'!H35</f>
        <v>1.4825796886582653E-3</v>
      </c>
      <c r="E34" s="464">
        <f t="shared" si="1"/>
        <v>98.838645910551051</v>
      </c>
      <c r="F34" s="474">
        <f>'Levy Budget 2020'!K35</f>
        <v>0</v>
      </c>
      <c r="G34" s="464">
        <f t="shared" si="2"/>
        <v>0</v>
      </c>
      <c r="H34" s="474">
        <f>'Levy Budget 2020'!N35</f>
        <v>0</v>
      </c>
      <c r="I34" s="464">
        <f t="shared" si="3"/>
        <v>0</v>
      </c>
      <c r="J34" s="474">
        <f t="shared" ref="J34:J38" si="8">B34+D34+F34+H34</f>
        <v>2.8169014084507039E-2</v>
      </c>
      <c r="K34" s="471">
        <v>0</v>
      </c>
      <c r="L34" s="464">
        <f>'Levy Budget 2020'!AF35</f>
        <v>40</v>
      </c>
      <c r="M34" s="464">
        <f t="shared" si="4"/>
        <v>1120.0255633802817</v>
      </c>
      <c r="N34" s="464">
        <f>'Levy Budget 2020'!AD35</f>
        <v>1734.5964788732392</v>
      </c>
      <c r="O34" s="464">
        <f t="shared" si="5"/>
        <v>4772.5563145539909</v>
      </c>
      <c r="P34" s="464">
        <f>'Levy Budget 2020'!AH35</f>
        <v>4772.55631455399</v>
      </c>
      <c r="Q34" s="464">
        <f t="shared" si="6"/>
        <v>0</v>
      </c>
    </row>
    <row r="35" spans="1:17">
      <c r="A35" s="470">
        <v>503</v>
      </c>
      <c r="B35">
        <f>'Levy Budget 2020'!E36</f>
        <v>5.8561897702001486E-2</v>
      </c>
      <c r="C35" s="464">
        <f t="shared" si="0"/>
        <v>3904.1265134667669</v>
      </c>
      <c r="D35" s="474">
        <f>'Levy Budget 2020'!H36</f>
        <v>1.4825796886582653E-3</v>
      </c>
      <c r="E35" s="464">
        <f t="shared" si="1"/>
        <v>98.838645910551051</v>
      </c>
      <c r="F35" s="474">
        <f>'Levy Budget 2020'!K36</f>
        <v>0</v>
      </c>
      <c r="G35" s="464">
        <f t="shared" si="2"/>
        <v>0</v>
      </c>
      <c r="H35" s="474">
        <f>'Levy Budget 2020'!N36</f>
        <v>0</v>
      </c>
      <c r="I35" s="464">
        <f t="shared" si="3"/>
        <v>0</v>
      </c>
      <c r="J35" s="474">
        <f t="shared" si="8"/>
        <v>6.0044477390659753E-2</v>
      </c>
      <c r="K35" s="471">
        <f>678.47*1.1</f>
        <v>746.31700000000012</v>
      </c>
      <c r="L35" s="464">
        <f>'Levy Budget 2020'!AF36</f>
        <v>40</v>
      </c>
      <c r="M35" s="464">
        <f t="shared" si="4"/>
        <v>2387.4229114158638</v>
      </c>
      <c r="N35" s="464">
        <f>'Levy Budget 2020'!AD36</f>
        <v>3697.4293365455892</v>
      </c>
      <c r="O35" s="464">
        <f t="shared" si="5"/>
        <v>10874.13440733877</v>
      </c>
      <c r="P35" s="464">
        <f>'Levy Budget 2020'!AH36</f>
        <v>10874.134407338772</v>
      </c>
      <c r="Q35" s="464">
        <f t="shared" si="6"/>
        <v>0</v>
      </c>
    </row>
    <row r="36" spans="1:17">
      <c r="A36" s="470">
        <v>504</v>
      </c>
      <c r="B36">
        <f>'Levy Budget 2020'!E37</f>
        <v>3.9041265134667658E-2</v>
      </c>
      <c r="C36" s="464">
        <f t="shared" si="0"/>
        <v>2602.7510089778448</v>
      </c>
      <c r="D36" s="474">
        <f>'Levy Budget 2020'!H37</f>
        <v>1.4825796886582653E-3</v>
      </c>
      <c r="E36" s="464">
        <f t="shared" si="1"/>
        <v>98.838645910551051</v>
      </c>
      <c r="F36" s="474">
        <f>'Levy Budget 2020'!K37</f>
        <v>0</v>
      </c>
      <c r="G36" s="464">
        <f t="shared" si="2"/>
        <v>0</v>
      </c>
      <c r="H36" s="474">
        <f>'Levy Budget 2020'!N37</f>
        <v>0</v>
      </c>
      <c r="I36" s="464">
        <f t="shared" si="3"/>
        <v>0</v>
      </c>
      <c r="J36" s="474">
        <f t="shared" si="8"/>
        <v>4.0523844823325925E-2</v>
      </c>
      <c r="K36" s="471">
        <v>0</v>
      </c>
      <c r="L36" s="464">
        <f>'Levy Budget 2020'!AF37</f>
        <v>40</v>
      </c>
      <c r="M36" s="464">
        <f t="shared" si="4"/>
        <v>1611.2648455646161</v>
      </c>
      <c r="N36" s="464">
        <f>'Levy Budget 2020'!AD37</f>
        <v>2495.3844082036076</v>
      </c>
      <c r="O36" s="464">
        <f t="shared" si="5"/>
        <v>6848.2389086566191</v>
      </c>
      <c r="P36" s="464">
        <f>'Levy Budget 2020'!AH37</f>
        <v>6848.2389086566191</v>
      </c>
      <c r="Q36" s="464">
        <f t="shared" si="6"/>
        <v>0</v>
      </c>
    </row>
    <row r="37" spans="1:17">
      <c r="A37" s="470">
        <v>505</v>
      </c>
      <c r="B37">
        <f>'Levy Budget 2020'!E38</f>
        <v>1.4331603657029899E-2</v>
      </c>
      <c r="C37" s="464">
        <f t="shared" si="0"/>
        <v>955.44024380199357</v>
      </c>
      <c r="D37" s="474">
        <f>'Levy Budget 2020'!H38</f>
        <v>0</v>
      </c>
      <c r="E37" s="464">
        <f t="shared" si="1"/>
        <v>0</v>
      </c>
      <c r="F37" s="474">
        <f>'Levy Budget 2020'!K38</f>
        <v>0</v>
      </c>
      <c r="G37" s="464">
        <f t="shared" si="2"/>
        <v>0</v>
      </c>
      <c r="H37" s="474">
        <f>'Levy Budget 2020'!N38</f>
        <v>0</v>
      </c>
      <c r="I37" s="464">
        <f t="shared" si="3"/>
        <v>0</v>
      </c>
      <c r="J37" s="474">
        <f t="shared" si="8"/>
        <v>1.4331603657029899E-2</v>
      </c>
      <c r="K37" s="471">
        <v>0</v>
      </c>
      <c r="L37" s="464">
        <f>'Levy Budget 2020'!AF38</f>
        <v>38.155836183180966</v>
      </c>
      <c r="M37" s="464">
        <f t="shared" si="4"/>
        <v>569.83756733382756</v>
      </c>
      <c r="N37" s="464">
        <f>'Levy Budget 2020'!AD38</f>
        <v>882.51399802322703</v>
      </c>
      <c r="O37" s="464">
        <f t="shared" si="5"/>
        <v>2445.9476453422294</v>
      </c>
      <c r="P37" s="464">
        <f>'Levy Budget 2020'!AH38</f>
        <v>2445.947645342229</v>
      </c>
      <c r="Q37" s="464">
        <f t="shared" si="6"/>
        <v>0</v>
      </c>
    </row>
    <row r="38" spans="1:17">
      <c r="A38" s="470">
        <v>506</v>
      </c>
      <c r="B38">
        <f>'Levy Budget 2020'!E39</f>
        <v>1.408450704225352E-2</v>
      </c>
      <c r="C38" s="464">
        <f t="shared" si="0"/>
        <v>938.96713615023486</v>
      </c>
      <c r="D38" s="474">
        <f>'Levy Budget 2020'!H39</f>
        <v>0</v>
      </c>
      <c r="E38" s="464">
        <f t="shared" si="1"/>
        <v>0</v>
      </c>
      <c r="F38" s="474">
        <f>'Levy Budget 2020'!K39</f>
        <v>0</v>
      </c>
      <c r="G38" s="464">
        <f t="shared" si="2"/>
        <v>0</v>
      </c>
      <c r="H38" s="474">
        <f>'Levy Budget 2020'!N39</f>
        <v>0</v>
      </c>
      <c r="I38" s="464">
        <f t="shared" si="3"/>
        <v>0</v>
      </c>
      <c r="J38" s="474">
        <f t="shared" si="8"/>
        <v>1.408450704225352E-2</v>
      </c>
      <c r="K38" s="471">
        <v>0</v>
      </c>
      <c r="L38" s="464">
        <f>'Levy Budget 2020'!AF39</f>
        <v>37.325563145539903</v>
      </c>
      <c r="M38" s="464">
        <f t="shared" si="4"/>
        <v>560.01278169014086</v>
      </c>
      <c r="N38" s="464">
        <f>'Levy Budget 2020'!AD39</f>
        <v>867.29823943661961</v>
      </c>
      <c r="O38" s="464">
        <f t="shared" si="5"/>
        <v>2403.6037204225354</v>
      </c>
      <c r="P38" s="464">
        <f>'Levy Budget 2020'!AH39</f>
        <v>2403.6037204225349</v>
      </c>
      <c r="Q38" s="464">
        <f t="shared" si="6"/>
        <v>0</v>
      </c>
    </row>
    <row r="39" spans="1:17">
      <c r="A39" s="465"/>
      <c r="B39" s="465"/>
      <c r="C39" s="466">
        <f>SUM(C5:C38)</f>
        <v>62531.916646075297</v>
      </c>
      <c r="D39" s="465"/>
      <c r="E39" s="466">
        <f>SUM(E5:E38)</f>
        <v>2372.1275018532251</v>
      </c>
      <c r="F39" s="465"/>
      <c r="G39" s="466">
        <f>SUM(G5:G38)</f>
        <v>214.15039947286061</v>
      </c>
      <c r="H39" s="465"/>
      <c r="I39" s="466">
        <f t="shared" ref="I39:O39" si="9">SUM(I5:I38)</f>
        <v>1153.1175356230956</v>
      </c>
      <c r="J39" s="477">
        <f t="shared" si="9"/>
        <v>0.99406968124536688</v>
      </c>
      <c r="K39" s="475">
        <f t="shared" si="9"/>
        <v>1423.9170000000001</v>
      </c>
      <c r="L39" s="466">
        <f t="shared" si="9"/>
        <v>1338.9717406473933</v>
      </c>
      <c r="M39" s="466">
        <f t="shared" si="9"/>
        <v>39525.112644551533</v>
      </c>
      <c r="N39" s="466">
        <f>SUM(N5:N38)</f>
        <v>61212.996793921426</v>
      </c>
      <c r="O39" s="466">
        <f t="shared" si="9"/>
        <v>169772.31026214481</v>
      </c>
      <c r="P39" s="466">
        <f>SUM(P5:P38)</f>
        <v>169772.31026214478</v>
      </c>
      <c r="Q39" s="466">
        <f>SUM(Q5:Q38)</f>
        <v>0</v>
      </c>
    </row>
    <row r="40" spans="1:17">
      <c r="A40" t="s">
        <v>271</v>
      </c>
      <c r="C40" s="476">
        <f>'Levy Budget 2020'!AB40</f>
        <v>296.51593773165308</v>
      </c>
      <c r="D40" s="476"/>
      <c r="E40" s="476"/>
      <c r="F40" s="476"/>
      <c r="G40" s="476"/>
      <c r="H40" s="476"/>
      <c r="I40" s="476"/>
      <c r="J40" s="478">
        <f>'Levy Budget 2020'!P40</f>
        <v>4.447739065974796E-3</v>
      </c>
    </row>
    <row r="41" spans="1:17">
      <c r="A41" t="s">
        <v>271</v>
      </c>
      <c r="C41" s="476">
        <f>'Levy Budget 2020'!AB41</f>
        <v>98.838645910551023</v>
      </c>
      <c r="E41" s="464">
        <f>E39+G39</f>
        <v>2586.2779013260856</v>
      </c>
      <c r="J41" s="478">
        <f>'Levy Budget 2020'!P41</f>
        <v>1.4825796886582653E-3</v>
      </c>
    </row>
    <row r="42" spans="1:17">
      <c r="C42" s="466">
        <f>SUM(C39:C41)</f>
        <v>62927.271229717502</v>
      </c>
      <c r="J42" s="477">
        <f>SUM(J39:J41)</f>
        <v>1</v>
      </c>
    </row>
    <row r="43" spans="1:17">
      <c r="C43" s="479">
        <f>C42+E39+G39+I39</f>
        <v>66666.666666666686</v>
      </c>
      <c r="D43" t="s">
        <v>355</v>
      </c>
    </row>
    <row r="44" spans="1:17">
      <c r="C44" s="476"/>
    </row>
    <row r="45" spans="1:17">
      <c r="C45" s="464"/>
    </row>
    <row r="46" spans="1:17">
      <c r="C46" s="464"/>
      <c r="G46" s="464"/>
    </row>
    <row r="47" spans="1:17">
      <c r="G47" s="464"/>
    </row>
  </sheetData>
  <sheetProtection algorithmName="SHA-512" hashValue="4KK/Kg3eQM9y6kTwhn1Nr3ixpGYF9vEHPK6hNGv5jEQgFQqow0RWGWltWtKA5ZUG6RpXaMHestbkBT25U7DOkQ==" saltValue="2el1CKLi1iMHsm0X339lBA==" spinCount="100000" sheet="1" objects="1" scenarios="1"/>
  <mergeCells count="4">
    <mergeCell ref="D3:E3"/>
    <mergeCell ref="F3:G3"/>
    <mergeCell ref="H3:I3"/>
    <mergeCell ref="B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F55"/>
  <sheetViews>
    <sheetView topLeftCell="V29" zoomScaleNormal="100" workbookViewId="0">
      <selection activeCell="W48" sqref="W48"/>
    </sheetView>
  </sheetViews>
  <sheetFormatPr baseColWidth="10" defaultColWidth="8.83203125" defaultRowHeight="14"/>
  <cols>
    <col min="1" max="1" width="3.6640625" style="127" hidden="1" customWidth="1"/>
    <col min="2" max="2" width="15" style="168" customWidth="1"/>
    <col min="3" max="3" width="6.6640625" style="138" bestFit="1" customWidth="1"/>
    <col min="4" max="4" width="6.6640625" style="138" customWidth="1"/>
    <col min="5" max="5" width="9.5" style="151" bestFit="1" customWidth="1"/>
    <col min="6" max="6" width="12" style="139" customWidth="1"/>
    <col min="7" max="7" width="16.1640625" style="139" customWidth="1"/>
    <col min="8" max="8" width="12.5" style="140" customWidth="1"/>
    <col min="9" max="9" width="3.6640625" style="141" customWidth="1"/>
    <col min="10" max="10" width="11.5" style="142" customWidth="1"/>
    <col min="11" max="11" width="9.5" style="151" customWidth="1"/>
    <col min="12" max="12" width="14.1640625" style="143" customWidth="1"/>
    <col min="13" max="13" width="16.1640625" style="172" customWidth="1"/>
    <col min="14" max="14" width="6" style="140" customWidth="1"/>
    <col min="15" max="15" width="5" style="141" bestFit="1" customWidth="1"/>
    <col min="16" max="16" width="7.33203125" style="127" customWidth="1"/>
    <col min="17" max="17" width="9.83203125" style="144" customWidth="1"/>
    <col min="18" max="18" width="12.33203125" style="156" bestFit="1" customWidth="1"/>
    <col min="19" max="19" width="16.1640625" style="172" customWidth="1"/>
    <col min="20" max="20" width="10.6640625" style="145" customWidth="1"/>
    <col min="21" max="21" width="13.83203125" style="147" customWidth="1"/>
    <col min="22" max="22" width="16.1640625" style="172" customWidth="1"/>
    <col min="23" max="23" width="15.1640625" style="146" customWidth="1"/>
    <col min="24" max="24" width="16.1640625" style="172" customWidth="1"/>
    <col min="25" max="25" width="10.6640625" style="196" customWidth="1"/>
    <col min="26" max="26" width="13.5" style="146" customWidth="1"/>
    <col min="27" max="27" width="13.33203125" style="139" customWidth="1"/>
    <col min="28" max="28" width="15.1640625" style="139" customWidth="1"/>
    <col min="29" max="29" width="9.33203125" style="138" customWidth="1"/>
    <col min="30" max="30" width="9.33203125" style="127" bestFit="1" customWidth="1"/>
    <col min="31" max="16384" width="8.83203125" style="127"/>
  </cols>
  <sheetData>
    <row r="2" spans="2:30" s="323" customFormat="1" ht="18">
      <c r="B2" s="607" t="s">
        <v>142</v>
      </c>
      <c r="C2" s="607"/>
      <c r="D2" s="607"/>
      <c r="E2" s="607"/>
      <c r="F2" s="607"/>
      <c r="G2" s="607"/>
      <c r="H2" s="607"/>
      <c r="I2" s="324"/>
      <c r="J2" s="325"/>
      <c r="K2" s="302"/>
      <c r="L2" s="303"/>
      <c r="M2" s="303"/>
      <c r="N2" s="304"/>
      <c r="O2" s="324"/>
      <c r="P2" s="326"/>
      <c r="Q2" s="305"/>
      <c r="R2" s="306"/>
      <c r="S2" s="303"/>
      <c r="T2" s="307"/>
      <c r="U2" s="308"/>
      <c r="V2" s="303"/>
      <c r="W2" s="309"/>
      <c r="X2" s="303"/>
      <c r="Y2" s="310"/>
      <c r="Z2" s="309"/>
      <c r="AA2" s="311"/>
      <c r="AB2" s="311"/>
      <c r="AC2" s="312"/>
    </row>
    <row r="3" spans="2:30" s="323" customFormat="1" ht="18" customHeight="1" thickBot="1">
      <c r="B3" s="607" t="s">
        <v>173</v>
      </c>
      <c r="C3" s="607"/>
      <c r="D3" s="607"/>
      <c r="E3" s="607"/>
      <c r="F3" s="607"/>
      <c r="G3" s="607"/>
      <c r="H3" s="607"/>
      <c r="I3" s="324"/>
      <c r="J3" s="325"/>
      <c r="K3" s="327"/>
      <c r="L3" s="328"/>
      <c r="M3" s="328"/>
      <c r="N3" s="304"/>
      <c r="O3" s="324"/>
      <c r="P3" s="326"/>
      <c r="Q3" s="329"/>
      <c r="R3" s="330"/>
      <c r="S3" s="328"/>
      <c r="T3" s="331"/>
      <c r="U3" s="332"/>
      <c r="V3" s="328"/>
      <c r="W3" s="309"/>
      <c r="X3" s="328"/>
      <c r="Y3" s="310"/>
      <c r="Z3" s="309"/>
      <c r="AA3" s="311"/>
      <c r="AB3" s="311"/>
      <c r="AC3" s="312"/>
    </row>
    <row r="4" spans="2:30" ht="15.75" hidden="1" customHeight="1">
      <c r="B4" s="169"/>
      <c r="C4" s="122"/>
      <c r="D4" s="122"/>
      <c r="E4" s="149"/>
      <c r="F4" s="121"/>
      <c r="G4" s="121"/>
      <c r="H4" s="130"/>
      <c r="I4" s="128"/>
      <c r="J4" s="129"/>
      <c r="K4" s="149"/>
      <c r="L4" s="121"/>
      <c r="M4" s="166"/>
      <c r="N4" s="130"/>
      <c r="O4" s="128"/>
      <c r="P4" s="125"/>
      <c r="Q4" s="133"/>
      <c r="R4" s="160"/>
      <c r="S4" s="166"/>
      <c r="T4" s="123"/>
      <c r="U4" s="121"/>
      <c r="V4" s="166"/>
      <c r="W4" s="124"/>
      <c r="X4" s="166"/>
      <c r="Y4" s="188"/>
      <c r="Z4" s="124"/>
      <c r="AA4" s="125"/>
      <c r="AB4" s="125"/>
      <c r="AC4" s="126"/>
    </row>
    <row r="5" spans="2:30" ht="69.75" customHeight="1" thickBot="1">
      <c r="B5" s="608" t="s">
        <v>164</v>
      </c>
      <c r="C5" s="612"/>
      <c r="D5" s="612"/>
      <c r="E5" s="612"/>
      <c r="F5" s="612"/>
      <c r="G5" s="609"/>
      <c r="H5" s="608" t="s">
        <v>166</v>
      </c>
      <c r="I5" s="612"/>
      <c r="J5" s="612"/>
      <c r="K5" s="612"/>
      <c r="L5" s="612"/>
      <c r="M5" s="609"/>
      <c r="N5" s="608" t="s">
        <v>167</v>
      </c>
      <c r="O5" s="612"/>
      <c r="P5" s="612"/>
      <c r="Q5" s="612"/>
      <c r="R5" s="612"/>
      <c r="S5" s="609"/>
      <c r="T5" s="608" t="s">
        <v>143</v>
      </c>
      <c r="U5" s="609"/>
      <c r="V5" s="180" t="s">
        <v>170</v>
      </c>
      <c r="W5" s="610" t="s">
        <v>168</v>
      </c>
      <c r="X5" s="611"/>
      <c r="Y5" s="613" t="s">
        <v>160</v>
      </c>
      <c r="Z5" s="614"/>
      <c r="AA5" s="604" t="s">
        <v>172</v>
      </c>
      <c r="AB5" s="605"/>
      <c r="AC5" s="313" t="s">
        <v>144</v>
      </c>
      <c r="AD5" s="314" t="s">
        <v>145</v>
      </c>
    </row>
    <row r="6" spans="2:30" s="163" customFormat="1" ht="36" customHeight="1" thickBot="1">
      <c r="B6" s="197" t="s">
        <v>165</v>
      </c>
      <c r="C6" s="198" t="s">
        <v>147</v>
      </c>
      <c r="D6" s="198" t="s">
        <v>148</v>
      </c>
      <c r="E6" s="199" t="s">
        <v>149</v>
      </c>
      <c r="F6" s="200" t="s">
        <v>150</v>
      </c>
      <c r="G6" s="164" t="s">
        <v>163</v>
      </c>
      <c r="H6" s="253" t="s">
        <v>146</v>
      </c>
      <c r="I6" s="254" t="s">
        <v>147</v>
      </c>
      <c r="J6" s="255" t="s">
        <v>148</v>
      </c>
      <c r="K6" s="199" t="s">
        <v>149</v>
      </c>
      <c r="L6" s="164" t="s">
        <v>150</v>
      </c>
      <c r="M6" s="230" t="s">
        <v>163</v>
      </c>
      <c r="N6" s="253" t="s">
        <v>146</v>
      </c>
      <c r="O6" s="254" t="s">
        <v>147</v>
      </c>
      <c r="P6" s="198" t="s">
        <v>148</v>
      </c>
      <c r="Q6" s="256" t="s">
        <v>149</v>
      </c>
      <c r="R6" s="257" t="s">
        <v>150</v>
      </c>
      <c r="S6" s="164" t="s">
        <v>163</v>
      </c>
      <c r="T6" s="282" t="s">
        <v>150</v>
      </c>
      <c r="U6" s="164" t="s">
        <v>151</v>
      </c>
      <c r="V6" s="185" t="s">
        <v>171</v>
      </c>
      <c r="W6" s="184" t="s">
        <v>150</v>
      </c>
      <c r="X6" s="164" t="s">
        <v>163</v>
      </c>
      <c r="Y6" s="189" t="s">
        <v>150</v>
      </c>
      <c r="Z6" s="295" t="s">
        <v>162</v>
      </c>
      <c r="AA6" s="230" t="s">
        <v>150</v>
      </c>
      <c r="AB6" s="288" t="s">
        <v>152</v>
      </c>
      <c r="AC6" s="315" t="s">
        <v>153</v>
      </c>
      <c r="AD6" s="316"/>
    </row>
    <row r="7" spans="2:30">
      <c r="B7" s="201"/>
      <c r="C7" s="202"/>
      <c r="D7" s="203"/>
      <c r="E7" s="204"/>
      <c r="F7" s="205"/>
      <c r="G7" s="206"/>
      <c r="H7" s="231"/>
      <c r="I7" s="232"/>
      <c r="J7" s="233"/>
      <c r="K7" s="204"/>
      <c r="L7" s="205"/>
      <c r="M7" s="206"/>
      <c r="N7" s="258"/>
      <c r="O7" s="232"/>
      <c r="P7" s="259"/>
      <c r="Q7" s="260"/>
      <c r="R7" s="261"/>
      <c r="S7" s="206"/>
      <c r="T7" s="283"/>
      <c r="U7" s="206"/>
      <c r="V7" s="181"/>
      <c r="W7" s="183"/>
      <c r="X7" s="174"/>
      <c r="Y7" s="190"/>
      <c r="Z7" s="296"/>
      <c r="AA7" s="294"/>
      <c r="AB7" s="289"/>
      <c r="AC7" s="317"/>
      <c r="AD7" s="318"/>
    </row>
    <row r="8" spans="2:30">
      <c r="B8" s="207">
        <v>2</v>
      </c>
      <c r="C8" s="208">
        <v>103</v>
      </c>
      <c r="D8" s="209" t="s">
        <v>154</v>
      </c>
      <c r="E8" s="210">
        <f>2.545</f>
        <v>2.5449999999999999</v>
      </c>
      <c r="F8" s="344">
        <v>2020.92</v>
      </c>
      <c r="G8" s="212" t="e">
        <f>(E8/$E$48)*$F$49</f>
        <v>#REF!</v>
      </c>
      <c r="H8" s="234">
        <v>47</v>
      </c>
      <c r="I8" s="235">
        <v>6</v>
      </c>
      <c r="J8" s="236">
        <v>20</v>
      </c>
      <c r="K8" s="210">
        <v>0.14829999999999999</v>
      </c>
      <c r="L8" s="211">
        <v>85.04</v>
      </c>
      <c r="M8" s="212" t="e">
        <f>(K8/$K$48)*$L$49</f>
        <v>#REF!</v>
      </c>
      <c r="N8" s="262"/>
      <c r="O8" s="235"/>
      <c r="P8" s="263"/>
      <c r="Q8" s="264">
        <f t="shared" ref="Q8:Q21" si="0">SUM(O8/$C$48)</f>
        <v>0</v>
      </c>
      <c r="R8" s="345">
        <v>0</v>
      </c>
      <c r="S8" s="212" t="e">
        <f>(Q8/$Q$48)*$R$49</f>
        <v>#REF!</v>
      </c>
      <c r="T8" s="347">
        <v>0</v>
      </c>
      <c r="U8" s="212"/>
      <c r="V8" s="186">
        <f t="shared" ref="V8:V47" si="1">E8+K8+Q8</f>
        <v>2.6932999999999998</v>
      </c>
      <c r="W8" s="175">
        <v>949.78</v>
      </c>
      <c r="X8" s="176" t="e">
        <f>(V8/$V$48)*$X$49</f>
        <v>#REF!</v>
      </c>
      <c r="Y8" s="191"/>
      <c r="Z8" s="297"/>
      <c r="AA8" s="346">
        <f>F8+L8+R8+T8+Y8</f>
        <v>2105.96</v>
      </c>
      <c r="AB8" s="290" t="e">
        <f>(G8+M8+S8+U8+Z8)</f>
        <v>#REF!</v>
      </c>
      <c r="AC8" s="319" t="e">
        <f>(AB8-AA8)/AA8</f>
        <v>#REF!</v>
      </c>
      <c r="AD8" s="320" t="e">
        <f>MIN(40,MAX(0,0.02*(G8-500)))</f>
        <v>#REF!</v>
      </c>
    </row>
    <row r="9" spans="2:30">
      <c r="B9" s="207"/>
      <c r="C9" s="208"/>
      <c r="D9" s="209"/>
      <c r="E9" s="210"/>
      <c r="F9" s="344">
        <v>0</v>
      </c>
      <c r="G9" s="212" t="e">
        <f t="shared" ref="G9:G47" si="2">(E9/$E$48)*$F$49</f>
        <v>#REF!</v>
      </c>
      <c r="H9" s="234">
        <v>37</v>
      </c>
      <c r="I9" s="235">
        <v>6</v>
      </c>
      <c r="J9" s="236"/>
      <c r="K9" s="210">
        <v>0.14829999999999999</v>
      </c>
      <c r="L9" s="211">
        <v>85.04</v>
      </c>
      <c r="M9" s="212" t="e">
        <f t="shared" ref="M9:M45" si="3">(K9/$K$48)*$L$49</f>
        <v>#REF!</v>
      </c>
      <c r="N9" s="262"/>
      <c r="O9" s="235"/>
      <c r="P9" s="263"/>
      <c r="Q9" s="264">
        <f t="shared" si="0"/>
        <v>0</v>
      </c>
      <c r="R9" s="265">
        <v>0</v>
      </c>
      <c r="S9" s="212" t="e">
        <f t="shared" ref="S9:S47" si="4">(Q9/$Q$48)*$R$49</f>
        <v>#REF!</v>
      </c>
      <c r="T9" s="284">
        <v>0</v>
      </c>
      <c r="U9" s="212"/>
      <c r="V9" s="186">
        <f t="shared" si="1"/>
        <v>0.14829999999999999</v>
      </c>
      <c r="W9" s="175">
        <v>52.3</v>
      </c>
      <c r="X9" s="176" t="e">
        <f t="shared" ref="X9:X45" si="5">(V9/$V$48)*$X$49</f>
        <v>#REF!</v>
      </c>
      <c r="Y9" s="191"/>
      <c r="Z9" s="297"/>
      <c r="AA9" s="343">
        <f>F9+L9+R9+T9+Y9</f>
        <v>85.04</v>
      </c>
      <c r="AB9" s="290" t="e">
        <f t="shared" ref="AB9:AB47" si="6">(G9+M9+S9+U9+Z9)</f>
        <v>#REF!</v>
      </c>
      <c r="AC9" s="319" t="e">
        <f t="shared" ref="AC9:AC47" si="7">(AB9-AA9)/AA9</f>
        <v>#REF!</v>
      </c>
      <c r="AD9" s="320" t="e">
        <f t="shared" ref="AD9:AD47" si="8">MIN(40,MAX(0,0.02*(G9-500)))</f>
        <v>#REF!</v>
      </c>
    </row>
    <row r="10" spans="2:30">
      <c r="B10" s="207">
        <v>3</v>
      </c>
      <c r="C10" s="208">
        <v>137</v>
      </c>
      <c r="D10" s="209" t="s">
        <v>155</v>
      </c>
      <c r="E10" s="210">
        <v>3.3851</v>
      </c>
      <c r="F10" s="211">
        <v>2688.02</v>
      </c>
      <c r="G10" s="212" t="e">
        <f t="shared" si="2"/>
        <v>#REF!</v>
      </c>
      <c r="H10" s="234">
        <v>38</v>
      </c>
      <c r="I10" s="235">
        <v>6</v>
      </c>
      <c r="J10" s="236">
        <v>2</v>
      </c>
      <c r="K10" s="210">
        <v>0.14829999999999999</v>
      </c>
      <c r="L10" s="211">
        <v>85.04</v>
      </c>
      <c r="M10" s="212" t="e">
        <f t="shared" si="3"/>
        <v>#REF!</v>
      </c>
      <c r="N10" s="262"/>
      <c r="O10" s="235"/>
      <c r="P10" s="263"/>
      <c r="Q10" s="264">
        <f t="shared" si="0"/>
        <v>0</v>
      </c>
      <c r="R10" s="265">
        <v>0</v>
      </c>
      <c r="S10" s="212" t="e">
        <f t="shared" si="4"/>
        <v>#REF!</v>
      </c>
      <c r="T10" s="284">
        <v>0</v>
      </c>
      <c r="U10" s="212"/>
      <c r="V10" s="186">
        <f t="shared" si="1"/>
        <v>3.5333999999999999</v>
      </c>
      <c r="W10" s="175">
        <v>1246.04</v>
      </c>
      <c r="X10" s="176" t="e">
        <f t="shared" si="5"/>
        <v>#REF!</v>
      </c>
      <c r="Y10" s="191"/>
      <c r="Z10" s="297"/>
      <c r="AA10" s="343">
        <f t="shared" ref="AA10:AA45" si="9">F10+L10+R10+T10+Y10</f>
        <v>2773.06</v>
      </c>
      <c r="AB10" s="290" t="e">
        <f t="shared" si="6"/>
        <v>#REF!</v>
      </c>
      <c r="AC10" s="319" t="e">
        <f t="shared" si="7"/>
        <v>#REF!</v>
      </c>
      <c r="AD10" s="320" t="e">
        <f t="shared" si="8"/>
        <v>#REF!</v>
      </c>
    </row>
    <row r="11" spans="2:30">
      <c r="B11" s="207">
        <v>4</v>
      </c>
      <c r="C11" s="208">
        <v>125</v>
      </c>
      <c r="D11" s="209" t="s">
        <v>156</v>
      </c>
      <c r="E11" s="210">
        <v>3.0886</v>
      </c>
      <c r="F11" s="211">
        <v>2452.58</v>
      </c>
      <c r="G11" s="212" t="e">
        <f t="shared" si="2"/>
        <v>#REF!</v>
      </c>
      <c r="H11" s="234">
        <v>51</v>
      </c>
      <c r="I11" s="235">
        <v>6</v>
      </c>
      <c r="J11" s="236">
        <v>24</v>
      </c>
      <c r="K11" s="210">
        <v>0.14829999999999999</v>
      </c>
      <c r="L11" s="211">
        <v>85.04</v>
      </c>
      <c r="M11" s="212" t="e">
        <f t="shared" si="3"/>
        <v>#REF!</v>
      </c>
      <c r="N11" s="262"/>
      <c r="O11" s="235"/>
      <c r="P11" s="263"/>
      <c r="Q11" s="264">
        <f t="shared" si="0"/>
        <v>0</v>
      </c>
      <c r="R11" s="265">
        <v>0</v>
      </c>
      <c r="S11" s="212" t="e">
        <f t="shared" si="4"/>
        <v>#REF!</v>
      </c>
      <c r="T11" s="284">
        <v>0</v>
      </c>
      <c r="U11" s="212"/>
      <c r="V11" s="186">
        <f t="shared" si="1"/>
        <v>3.2368999999999999</v>
      </c>
      <c r="W11" s="175">
        <v>114.48</v>
      </c>
      <c r="X11" s="176" t="e">
        <f t="shared" si="5"/>
        <v>#REF!</v>
      </c>
      <c r="Y11" s="191"/>
      <c r="Z11" s="297"/>
      <c r="AA11" s="343">
        <f t="shared" si="9"/>
        <v>2537.62</v>
      </c>
      <c r="AB11" s="290" t="e">
        <f t="shared" si="6"/>
        <v>#REF!</v>
      </c>
      <c r="AC11" s="319" t="e">
        <f t="shared" si="7"/>
        <v>#REF!</v>
      </c>
      <c r="AD11" s="320" t="e">
        <f t="shared" si="8"/>
        <v>#REF!</v>
      </c>
    </row>
    <row r="12" spans="2:30">
      <c r="B12" s="207">
        <v>5</v>
      </c>
      <c r="C12" s="208">
        <v>48</v>
      </c>
      <c r="D12" s="209" t="s">
        <v>157</v>
      </c>
      <c r="E12" s="210">
        <v>1.1859999999999999</v>
      </c>
      <c r="F12" s="211">
        <v>941.77</v>
      </c>
      <c r="G12" s="212" t="e">
        <f t="shared" si="2"/>
        <v>#REF!</v>
      </c>
      <c r="H12" s="237"/>
      <c r="I12" s="235"/>
      <c r="J12" s="236"/>
      <c r="K12" s="210">
        <f>SUM(I12/$C$48)</f>
        <v>0</v>
      </c>
      <c r="L12" s="342">
        <v>0</v>
      </c>
      <c r="M12" s="212">
        <v>0</v>
      </c>
      <c r="N12" s="262"/>
      <c r="O12" s="235"/>
      <c r="P12" s="263"/>
      <c r="Q12" s="264">
        <f t="shared" si="0"/>
        <v>0</v>
      </c>
      <c r="R12" s="265">
        <v>0</v>
      </c>
      <c r="S12" s="212" t="e">
        <f t="shared" si="4"/>
        <v>#REF!</v>
      </c>
      <c r="T12" s="284">
        <v>0</v>
      </c>
      <c r="U12" s="212"/>
      <c r="V12" s="186">
        <f t="shared" si="1"/>
        <v>1.1859999999999999</v>
      </c>
      <c r="W12" s="175">
        <v>418.24</v>
      </c>
      <c r="X12" s="176" t="e">
        <f t="shared" si="5"/>
        <v>#REF!</v>
      </c>
      <c r="Y12" s="191"/>
      <c r="Z12" s="297"/>
      <c r="AA12" s="343">
        <f t="shared" si="9"/>
        <v>941.77</v>
      </c>
      <c r="AB12" s="290" t="e">
        <f t="shared" si="6"/>
        <v>#REF!</v>
      </c>
      <c r="AC12" s="319" t="e">
        <f t="shared" si="7"/>
        <v>#REF!</v>
      </c>
      <c r="AD12" s="320" t="e">
        <f t="shared" si="8"/>
        <v>#REF!</v>
      </c>
    </row>
    <row r="13" spans="2:30">
      <c r="B13" s="207">
        <v>6</v>
      </c>
      <c r="C13" s="208">
        <v>137</v>
      </c>
      <c r="D13" s="208">
        <v>101</v>
      </c>
      <c r="E13" s="210">
        <v>3.3851</v>
      </c>
      <c r="F13" s="211">
        <v>2688.02</v>
      </c>
      <c r="G13" s="212" t="e">
        <f t="shared" si="2"/>
        <v>#REF!</v>
      </c>
      <c r="H13" s="237"/>
      <c r="I13" s="235"/>
      <c r="J13" s="236"/>
      <c r="K13" s="210">
        <f>SUM(I13/$C$48)</f>
        <v>0</v>
      </c>
      <c r="L13" s="342">
        <v>0</v>
      </c>
      <c r="M13" s="212">
        <v>0</v>
      </c>
      <c r="N13" s="262"/>
      <c r="O13" s="235"/>
      <c r="P13" s="263"/>
      <c r="Q13" s="264">
        <f t="shared" si="0"/>
        <v>0</v>
      </c>
      <c r="R13" s="265">
        <v>0</v>
      </c>
      <c r="S13" s="212" t="e">
        <f t="shared" si="4"/>
        <v>#REF!</v>
      </c>
      <c r="T13" s="284">
        <v>0</v>
      </c>
      <c r="U13" s="212"/>
      <c r="V13" s="186">
        <f t="shared" si="1"/>
        <v>3.3851</v>
      </c>
      <c r="W13" s="175">
        <v>1193.74</v>
      </c>
      <c r="X13" s="176" t="e">
        <f t="shared" si="5"/>
        <v>#REF!</v>
      </c>
      <c r="Y13" s="191"/>
      <c r="Z13" s="297"/>
      <c r="AA13" s="343">
        <f t="shared" si="9"/>
        <v>2688.02</v>
      </c>
      <c r="AB13" s="290" t="e">
        <f t="shared" si="6"/>
        <v>#REF!</v>
      </c>
      <c r="AC13" s="319" t="e">
        <f t="shared" si="7"/>
        <v>#REF!</v>
      </c>
      <c r="AD13" s="320" t="e">
        <f t="shared" si="8"/>
        <v>#REF!</v>
      </c>
    </row>
    <row r="14" spans="2:30">
      <c r="B14" s="207">
        <v>7</v>
      </c>
      <c r="C14" s="214">
        <v>109</v>
      </c>
      <c r="D14" s="214">
        <v>102</v>
      </c>
      <c r="E14" s="210">
        <v>2.6932999999999998</v>
      </c>
      <c r="F14" s="211">
        <v>2138.6799999999998</v>
      </c>
      <c r="G14" s="212" t="e">
        <f t="shared" si="2"/>
        <v>#REF!</v>
      </c>
      <c r="H14" s="234">
        <v>39</v>
      </c>
      <c r="I14" s="235">
        <v>6</v>
      </c>
      <c r="J14" s="236">
        <v>1</v>
      </c>
      <c r="K14" s="210">
        <v>0.14829999999999999</v>
      </c>
      <c r="L14" s="211">
        <v>85.04</v>
      </c>
      <c r="M14" s="212" t="e">
        <f t="shared" si="3"/>
        <v>#REF!</v>
      </c>
      <c r="N14" s="262"/>
      <c r="O14" s="235"/>
      <c r="P14" s="266"/>
      <c r="Q14" s="264">
        <f t="shared" si="0"/>
        <v>0</v>
      </c>
      <c r="R14" s="265">
        <v>0</v>
      </c>
      <c r="S14" s="212" t="e">
        <f t="shared" si="4"/>
        <v>#REF!</v>
      </c>
      <c r="T14" s="284">
        <v>140</v>
      </c>
      <c r="U14" s="212">
        <f>140*1.1</f>
        <v>154</v>
      </c>
      <c r="V14" s="186">
        <f t="shared" si="1"/>
        <v>2.8415999999999997</v>
      </c>
      <c r="W14" s="175">
        <v>1002.08</v>
      </c>
      <c r="X14" s="176" t="e">
        <f t="shared" si="5"/>
        <v>#REF!</v>
      </c>
      <c r="Y14" s="191"/>
      <c r="Z14" s="297"/>
      <c r="AA14" s="343">
        <f t="shared" si="9"/>
        <v>2363.7199999999998</v>
      </c>
      <c r="AB14" s="290" t="e">
        <f t="shared" si="6"/>
        <v>#REF!</v>
      </c>
      <c r="AC14" s="319" t="e">
        <f t="shared" si="7"/>
        <v>#REF!</v>
      </c>
      <c r="AD14" s="320" t="e">
        <f>MIN(40,MAX(0,0.02*(G14-500)))</f>
        <v>#REF!</v>
      </c>
    </row>
    <row r="15" spans="2:30">
      <c r="B15" s="207">
        <v>8</v>
      </c>
      <c r="C15" s="214">
        <v>155</v>
      </c>
      <c r="D15" s="214">
        <v>103</v>
      </c>
      <c r="E15" s="210">
        <v>3.8298999999999999</v>
      </c>
      <c r="F15" s="211">
        <v>3041.22</v>
      </c>
      <c r="G15" s="212" t="e">
        <f t="shared" si="2"/>
        <v>#REF!</v>
      </c>
      <c r="H15" s="237"/>
      <c r="I15" s="235"/>
      <c r="J15" s="236"/>
      <c r="K15" s="210">
        <f>SUM(I15/$C$48)</f>
        <v>0</v>
      </c>
      <c r="L15" s="211">
        <v>0</v>
      </c>
      <c r="M15" s="212" t="e">
        <f t="shared" si="3"/>
        <v>#REF!</v>
      </c>
      <c r="N15" s="262"/>
      <c r="O15" s="235"/>
      <c r="P15" s="266"/>
      <c r="Q15" s="264">
        <f t="shared" si="0"/>
        <v>0</v>
      </c>
      <c r="R15" s="265">
        <v>0</v>
      </c>
      <c r="S15" s="212" t="e">
        <f t="shared" si="4"/>
        <v>#REF!</v>
      </c>
      <c r="T15" s="284">
        <v>0</v>
      </c>
      <c r="U15" s="212"/>
      <c r="V15" s="186">
        <f t="shared" si="1"/>
        <v>3.8298999999999999</v>
      </c>
      <c r="W15" s="175">
        <v>1350.6</v>
      </c>
      <c r="X15" s="176" t="e">
        <f t="shared" si="5"/>
        <v>#REF!</v>
      </c>
      <c r="Y15" s="191"/>
      <c r="Z15" s="297"/>
      <c r="AA15" s="343">
        <f t="shared" si="9"/>
        <v>3041.22</v>
      </c>
      <c r="AB15" s="290" t="e">
        <f t="shared" si="6"/>
        <v>#REF!</v>
      </c>
      <c r="AC15" s="319" t="e">
        <f t="shared" si="7"/>
        <v>#REF!</v>
      </c>
      <c r="AD15" s="320" t="e">
        <f t="shared" si="8"/>
        <v>#REF!</v>
      </c>
    </row>
    <row r="16" spans="2:30">
      <c r="B16" s="207">
        <v>9</v>
      </c>
      <c r="C16" s="214">
        <v>141</v>
      </c>
      <c r="D16" s="214">
        <v>104</v>
      </c>
      <c r="E16" s="210">
        <v>3.484</v>
      </c>
      <c r="F16" s="211">
        <v>2766.55</v>
      </c>
      <c r="G16" s="212" t="e">
        <f t="shared" si="2"/>
        <v>#REF!</v>
      </c>
      <c r="H16" s="234">
        <v>56</v>
      </c>
      <c r="I16" s="235">
        <v>6</v>
      </c>
      <c r="J16" s="236">
        <v>16</v>
      </c>
      <c r="K16" s="210">
        <v>0.14829999999999999</v>
      </c>
      <c r="L16" s="211">
        <v>85.04</v>
      </c>
      <c r="M16" s="212" t="e">
        <f t="shared" si="3"/>
        <v>#REF!</v>
      </c>
      <c r="N16" s="262"/>
      <c r="O16" s="235"/>
      <c r="P16" s="266"/>
      <c r="Q16" s="264">
        <f t="shared" si="0"/>
        <v>0</v>
      </c>
      <c r="R16" s="265">
        <v>0</v>
      </c>
      <c r="S16" s="212" t="e">
        <f t="shared" si="4"/>
        <v>#REF!</v>
      </c>
      <c r="T16" s="284">
        <v>0</v>
      </c>
      <c r="U16" s="212"/>
      <c r="V16" s="186">
        <f t="shared" si="1"/>
        <v>3.6322999999999999</v>
      </c>
      <c r="W16" s="175">
        <v>1280.92</v>
      </c>
      <c r="X16" s="176" t="e">
        <f t="shared" si="5"/>
        <v>#REF!</v>
      </c>
      <c r="Y16" s="191"/>
      <c r="Z16" s="297"/>
      <c r="AA16" s="343">
        <f t="shared" si="9"/>
        <v>2851.59</v>
      </c>
      <c r="AB16" s="290" t="e">
        <f t="shared" si="6"/>
        <v>#REF!</v>
      </c>
      <c r="AC16" s="319" t="e">
        <f t="shared" si="7"/>
        <v>#REF!</v>
      </c>
      <c r="AD16" s="320" t="e">
        <f t="shared" si="8"/>
        <v>#REF!</v>
      </c>
    </row>
    <row r="17" spans="1:30">
      <c r="B17" s="207">
        <v>10</v>
      </c>
      <c r="C17" s="214">
        <v>58</v>
      </c>
      <c r="D17" s="214">
        <v>105</v>
      </c>
      <c r="E17" s="210">
        <v>1.4331</v>
      </c>
      <c r="F17" s="211">
        <v>1137.99</v>
      </c>
      <c r="G17" s="212" t="e">
        <f t="shared" si="2"/>
        <v>#REF!</v>
      </c>
      <c r="H17" s="234">
        <v>48</v>
      </c>
      <c r="I17" s="235">
        <v>6</v>
      </c>
      <c r="J17" s="236">
        <v>21</v>
      </c>
      <c r="K17" s="210">
        <v>0.14829999999999999</v>
      </c>
      <c r="L17" s="211">
        <v>85.04</v>
      </c>
      <c r="M17" s="212" t="e">
        <f t="shared" si="3"/>
        <v>#REF!</v>
      </c>
      <c r="N17" s="262"/>
      <c r="O17" s="235"/>
      <c r="P17" s="266"/>
      <c r="Q17" s="264">
        <f t="shared" si="0"/>
        <v>0</v>
      </c>
      <c r="R17" s="265">
        <v>0</v>
      </c>
      <c r="S17" s="212" t="e">
        <f t="shared" si="4"/>
        <v>#REF!</v>
      </c>
      <c r="T17" s="284">
        <v>0</v>
      </c>
      <c r="U17" s="212"/>
      <c r="V17" s="186">
        <f t="shared" si="1"/>
        <v>1.5813999999999999</v>
      </c>
      <c r="W17" s="175">
        <v>557.67999999999995</v>
      </c>
      <c r="X17" s="176" t="e">
        <f t="shared" si="5"/>
        <v>#REF!</v>
      </c>
      <c r="Y17" s="191"/>
      <c r="Z17" s="297"/>
      <c r="AA17" s="343">
        <f t="shared" si="9"/>
        <v>1223.03</v>
      </c>
      <c r="AB17" s="290" t="e">
        <f t="shared" si="6"/>
        <v>#REF!</v>
      </c>
      <c r="AC17" s="319" t="e">
        <f t="shared" si="7"/>
        <v>#REF!</v>
      </c>
      <c r="AD17" s="320" t="e">
        <f t="shared" si="8"/>
        <v>#REF!</v>
      </c>
    </row>
    <row r="18" spans="1:30">
      <c r="A18" s="353"/>
      <c r="B18" s="354">
        <v>11</v>
      </c>
      <c r="C18" s="355">
        <v>57</v>
      </c>
      <c r="D18" s="355">
        <v>106</v>
      </c>
      <c r="E18" s="356">
        <v>1.4084000000000001</v>
      </c>
      <c r="F18" s="342">
        <v>1118.3699999999999</v>
      </c>
      <c r="G18" s="357" t="e">
        <f t="shared" si="2"/>
        <v>#REF!</v>
      </c>
      <c r="H18" s="358">
        <v>61</v>
      </c>
      <c r="I18" s="359">
        <v>6</v>
      </c>
      <c r="J18" s="360">
        <v>11</v>
      </c>
      <c r="K18" s="356">
        <v>0.14829999999999999</v>
      </c>
      <c r="L18" s="342">
        <v>85.04</v>
      </c>
      <c r="M18" s="357" t="e">
        <f t="shared" si="3"/>
        <v>#REF!</v>
      </c>
      <c r="N18" s="361"/>
      <c r="O18" s="359"/>
      <c r="P18" s="362"/>
      <c r="Q18" s="363">
        <f t="shared" si="0"/>
        <v>0</v>
      </c>
      <c r="R18" s="364">
        <v>0</v>
      </c>
      <c r="S18" s="357" t="e">
        <f t="shared" si="4"/>
        <v>#REF!</v>
      </c>
      <c r="T18" s="365">
        <v>0</v>
      </c>
      <c r="U18" s="357"/>
      <c r="V18" s="366">
        <f t="shared" si="1"/>
        <v>1.5567000000000002</v>
      </c>
      <c r="W18" s="367">
        <v>548.96</v>
      </c>
      <c r="X18" s="368" t="e">
        <f t="shared" si="5"/>
        <v>#REF!</v>
      </c>
      <c r="Y18" s="191"/>
      <c r="Z18" s="297"/>
      <c r="AA18" s="343">
        <f t="shared" si="9"/>
        <v>1203.4099999999999</v>
      </c>
      <c r="AB18" s="290" t="e">
        <f t="shared" si="6"/>
        <v>#REF!</v>
      </c>
      <c r="AC18" s="319" t="e">
        <f t="shared" si="7"/>
        <v>#REF!</v>
      </c>
      <c r="AD18" s="320" t="e">
        <f t="shared" si="8"/>
        <v>#REF!</v>
      </c>
    </row>
    <row r="19" spans="1:30">
      <c r="A19" s="353"/>
      <c r="B19" s="354">
        <v>12</v>
      </c>
      <c r="C19" s="355">
        <v>137</v>
      </c>
      <c r="D19" s="355">
        <v>201</v>
      </c>
      <c r="E19" s="356">
        <v>3.3851</v>
      </c>
      <c r="F19" s="342">
        <v>2688.02</v>
      </c>
      <c r="G19" s="357" t="e">
        <f t="shared" si="2"/>
        <v>#REF!</v>
      </c>
      <c r="H19" s="358">
        <v>49</v>
      </c>
      <c r="I19" s="359">
        <v>6</v>
      </c>
      <c r="J19" s="360">
        <v>22</v>
      </c>
      <c r="K19" s="356">
        <v>0.14829999999999999</v>
      </c>
      <c r="L19" s="342">
        <v>85.04</v>
      </c>
      <c r="M19" s="357" t="e">
        <f t="shared" si="3"/>
        <v>#REF!</v>
      </c>
      <c r="N19" s="361"/>
      <c r="O19" s="359"/>
      <c r="P19" s="362"/>
      <c r="Q19" s="363">
        <f t="shared" si="0"/>
        <v>0</v>
      </c>
      <c r="R19" s="364">
        <v>0</v>
      </c>
      <c r="S19" s="357" t="e">
        <f t="shared" si="4"/>
        <v>#REF!</v>
      </c>
      <c r="T19" s="365">
        <v>0</v>
      </c>
      <c r="U19" s="357"/>
      <c r="V19" s="366">
        <f t="shared" si="1"/>
        <v>3.5333999999999999</v>
      </c>
      <c r="W19" s="367" t="s">
        <v>181</v>
      </c>
      <c r="X19" s="368" t="e">
        <f t="shared" si="5"/>
        <v>#REF!</v>
      </c>
      <c r="Y19" s="191"/>
      <c r="Z19" s="297"/>
      <c r="AA19" s="343">
        <f t="shared" si="9"/>
        <v>2773.06</v>
      </c>
      <c r="AB19" s="290" t="e">
        <f t="shared" si="6"/>
        <v>#REF!</v>
      </c>
      <c r="AC19" s="319" t="e">
        <f t="shared" si="7"/>
        <v>#REF!</v>
      </c>
      <c r="AD19" s="320" t="e">
        <f t="shared" si="8"/>
        <v>#REF!</v>
      </c>
    </row>
    <row r="20" spans="1:30" s="292" customFormat="1">
      <c r="A20" s="353"/>
      <c r="B20" s="354">
        <v>13</v>
      </c>
      <c r="C20" s="355">
        <v>109</v>
      </c>
      <c r="D20" s="355">
        <v>202</v>
      </c>
      <c r="E20" s="356">
        <v>2.6932999999999998</v>
      </c>
      <c r="F20" s="342">
        <v>2138.6799999999998</v>
      </c>
      <c r="G20" s="357" t="e">
        <f t="shared" si="2"/>
        <v>#REF!</v>
      </c>
      <c r="H20" s="358">
        <v>60</v>
      </c>
      <c r="I20" s="359">
        <v>6</v>
      </c>
      <c r="J20" s="360">
        <v>12</v>
      </c>
      <c r="K20" s="356">
        <v>0.14829999999999999</v>
      </c>
      <c r="L20" s="342">
        <v>85.04</v>
      </c>
      <c r="M20" s="357" t="e">
        <f t="shared" si="3"/>
        <v>#REF!</v>
      </c>
      <c r="N20" s="361"/>
      <c r="O20" s="359"/>
      <c r="P20" s="362"/>
      <c r="Q20" s="363">
        <f t="shared" si="0"/>
        <v>0</v>
      </c>
      <c r="R20" s="364">
        <v>0</v>
      </c>
      <c r="S20" s="357" t="e">
        <f t="shared" si="4"/>
        <v>#REF!</v>
      </c>
      <c r="T20" s="365">
        <v>0</v>
      </c>
      <c r="U20" s="357">
        <v>0</v>
      </c>
      <c r="V20" s="366">
        <f t="shared" si="1"/>
        <v>2.8415999999999997</v>
      </c>
      <c r="W20" s="367" t="s">
        <v>182</v>
      </c>
      <c r="X20" s="368" t="e">
        <f t="shared" si="5"/>
        <v>#REF!</v>
      </c>
      <c r="Y20" s="293"/>
      <c r="Z20" s="298"/>
      <c r="AA20" s="343">
        <f t="shared" si="9"/>
        <v>2223.7199999999998</v>
      </c>
      <c r="AB20" s="290" t="e">
        <f t="shared" si="6"/>
        <v>#REF!</v>
      </c>
      <c r="AC20" s="319" t="e">
        <f t="shared" si="7"/>
        <v>#REF!</v>
      </c>
      <c r="AD20" s="320" t="e">
        <f t="shared" si="8"/>
        <v>#REF!</v>
      </c>
    </row>
    <row r="21" spans="1:30">
      <c r="B21" s="207">
        <v>14</v>
      </c>
      <c r="C21" s="214">
        <v>155</v>
      </c>
      <c r="D21" s="214">
        <v>203</v>
      </c>
      <c r="E21" s="210">
        <v>3.8298999999999999</v>
      </c>
      <c r="F21" s="211">
        <v>3041.22</v>
      </c>
      <c r="G21" s="212" t="e">
        <f t="shared" si="2"/>
        <v>#REF!</v>
      </c>
      <c r="H21" s="234">
        <v>57</v>
      </c>
      <c r="I21" s="235">
        <v>6</v>
      </c>
      <c r="J21" s="236">
        <v>15</v>
      </c>
      <c r="K21" s="210">
        <v>0.14829999999999999</v>
      </c>
      <c r="L21" s="211">
        <v>85.04</v>
      </c>
      <c r="M21" s="212" t="e">
        <f t="shared" si="3"/>
        <v>#REF!</v>
      </c>
      <c r="N21" s="262"/>
      <c r="O21" s="235"/>
      <c r="P21" s="267"/>
      <c r="Q21" s="264">
        <f t="shared" si="0"/>
        <v>0</v>
      </c>
      <c r="R21" s="265">
        <v>0</v>
      </c>
      <c r="S21" s="212" t="e">
        <f t="shared" si="4"/>
        <v>#REF!</v>
      </c>
      <c r="T21" s="284">
        <v>140</v>
      </c>
      <c r="U21" s="212">
        <f>140*1.1</f>
        <v>154</v>
      </c>
      <c r="V21" s="186">
        <f t="shared" si="1"/>
        <v>3.9781999999999997</v>
      </c>
      <c r="W21" s="175" t="s">
        <v>184</v>
      </c>
      <c r="X21" s="176" t="e">
        <f t="shared" si="5"/>
        <v>#REF!</v>
      </c>
      <c r="Y21" s="191"/>
      <c r="Z21" s="297"/>
      <c r="AA21" s="343">
        <f t="shared" si="9"/>
        <v>3266.2599999999998</v>
      </c>
      <c r="AB21" s="290" t="e">
        <f t="shared" si="6"/>
        <v>#REF!</v>
      </c>
      <c r="AC21" s="319" t="e">
        <f t="shared" si="7"/>
        <v>#REF!</v>
      </c>
      <c r="AD21" s="320" t="e">
        <f t="shared" si="8"/>
        <v>#REF!</v>
      </c>
    </row>
    <row r="22" spans="1:30">
      <c r="B22" s="207">
        <v>15</v>
      </c>
      <c r="C22" s="214">
        <v>141</v>
      </c>
      <c r="D22" s="214">
        <v>204</v>
      </c>
      <c r="E22" s="210">
        <v>3.484</v>
      </c>
      <c r="F22" s="211">
        <v>2766.55</v>
      </c>
      <c r="G22" s="212" t="e">
        <f t="shared" si="2"/>
        <v>#REF!</v>
      </c>
      <c r="H22" s="358">
        <v>63</v>
      </c>
      <c r="I22" s="359">
        <v>40</v>
      </c>
      <c r="J22" s="236">
        <v>3</v>
      </c>
      <c r="K22" s="210">
        <v>0.98839999999999995</v>
      </c>
      <c r="L22" s="211">
        <v>566.78</v>
      </c>
      <c r="M22" s="212" t="e">
        <f t="shared" si="3"/>
        <v>#REF!</v>
      </c>
      <c r="N22" s="268">
        <v>65</v>
      </c>
      <c r="O22" s="235">
        <v>7</v>
      </c>
      <c r="P22" s="267"/>
      <c r="Q22" s="269">
        <v>0.17299999999999999</v>
      </c>
      <c r="R22" s="265">
        <v>355.76</v>
      </c>
      <c r="S22" s="212" t="e">
        <f t="shared" si="4"/>
        <v>#REF!</v>
      </c>
      <c r="T22" s="284">
        <v>0</v>
      </c>
      <c r="U22" s="212"/>
      <c r="V22" s="186">
        <f t="shared" si="1"/>
        <v>4.6454000000000004</v>
      </c>
      <c r="W22" s="175" t="s">
        <v>185</v>
      </c>
      <c r="X22" s="176" t="e">
        <f t="shared" si="5"/>
        <v>#REF!</v>
      </c>
      <c r="Y22" s="191"/>
      <c r="Z22" s="297"/>
      <c r="AA22" s="343">
        <f t="shared" si="9"/>
        <v>3689.09</v>
      </c>
      <c r="AB22" s="290" t="e">
        <f t="shared" si="6"/>
        <v>#REF!</v>
      </c>
      <c r="AC22" s="319" t="e">
        <f t="shared" si="7"/>
        <v>#REF!</v>
      </c>
      <c r="AD22" s="320" t="e">
        <f t="shared" si="8"/>
        <v>#REF!</v>
      </c>
    </row>
    <row r="23" spans="1:30">
      <c r="B23" s="207"/>
      <c r="C23" s="214"/>
      <c r="D23" s="214"/>
      <c r="E23" s="210"/>
      <c r="F23" s="213">
        <v>0</v>
      </c>
      <c r="G23" s="212" t="e">
        <f t="shared" si="2"/>
        <v>#REF!</v>
      </c>
      <c r="H23" s="358">
        <v>40</v>
      </c>
      <c r="I23" s="359">
        <v>6</v>
      </c>
      <c r="J23" s="236"/>
      <c r="K23" s="210">
        <v>0.14829999999999999</v>
      </c>
      <c r="L23" s="211">
        <v>85.04</v>
      </c>
      <c r="M23" s="212" t="e">
        <f t="shared" si="3"/>
        <v>#REF!</v>
      </c>
      <c r="N23" s="262"/>
      <c r="O23" s="235"/>
      <c r="P23" s="267"/>
      <c r="Q23" s="270">
        <f>SUM(O23/$C$48)</f>
        <v>0</v>
      </c>
      <c r="R23" s="265">
        <v>0</v>
      </c>
      <c r="S23" s="212" t="e">
        <f t="shared" si="4"/>
        <v>#REF!</v>
      </c>
      <c r="T23" s="284">
        <v>0</v>
      </c>
      <c r="U23" s="212"/>
      <c r="V23" s="186">
        <f t="shared" si="1"/>
        <v>0.14829999999999999</v>
      </c>
      <c r="W23" s="175" t="s">
        <v>180</v>
      </c>
      <c r="X23" s="176" t="e">
        <f t="shared" si="5"/>
        <v>#REF!</v>
      </c>
      <c r="Y23" s="191"/>
      <c r="Z23" s="297"/>
      <c r="AA23" s="343">
        <f t="shared" si="9"/>
        <v>85.04</v>
      </c>
      <c r="AB23" s="290" t="e">
        <f t="shared" si="6"/>
        <v>#REF!</v>
      </c>
      <c r="AC23" s="319" t="e">
        <f t="shared" si="7"/>
        <v>#REF!</v>
      </c>
      <c r="AD23" s="320" t="e">
        <f t="shared" si="8"/>
        <v>#REF!</v>
      </c>
    </row>
    <row r="24" spans="1:30">
      <c r="B24" s="207">
        <v>16</v>
      </c>
      <c r="C24" s="214">
        <v>58</v>
      </c>
      <c r="D24" s="214">
        <v>205</v>
      </c>
      <c r="E24" s="210">
        <v>1.4331</v>
      </c>
      <c r="F24" s="211">
        <v>1137.99</v>
      </c>
      <c r="G24" s="212" t="e">
        <f t="shared" si="2"/>
        <v>#REF!</v>
      </c>
      <c r="H24" s="234">
        <v>46</v>
      </c>
      <c r="I24" s="235">
        <v>6</v>
      </c>
      <c r="J24" s="236">
        <v>9</v>
      </c>
      <c r="K24" s="210">
        <v>0.14829999999999999</v>
      </c>
      <c r="L24" s="211">
        <v>85.04</v>
      </c>
      <c r="M24" s="212" t="e">
        <f t="shared" si="3"/>
        <v>#REF!</v>
      </c>
      <c r="N24" s="262"/>
      <c r="O24" s="235"/>
      <c r="P24" s="267"/>
      <c r="Q24" s="270">
        <f>SUM(O24/$C$48)</f>
        <v>0</v>
      </c>
      <c r="R24" s="265">
        <v>0</v>
      </c>
      <c r="S24" s="212" t="e">
        <f t="shared" si="4"/>
        <v>#REF!</v>
      </c>
      <c r="T24" s="284">
        <v>0</v>
      </c>
      <c r="U24" s="212"/>
      <c r="V24" s="186">
        <f t="shared" si="1"/>
        <v>1.5813999999999999</v>
      </c>
      <c r="W24" s="175" t="s">
        <v>183</v>
      </c>
      <c r="X24" s="176" t="e">
        <f t="shared" si="5"/>
        <v>#REF!</v>
      </c>
      <c r="Y24" s="191"/>
      <c r="Z24" s="297"/>
      <c r="AA24" s="343">
        <f t="shared" si="9"/>
        <v>1223.03</v>
      </c>
      <c r="AB24" s="290" t="e">
        <f t="shared" si="6"/>
        <v>#REF!</v>
      </c>
      <c r="AC24" s="319" t="e">
        <f t="shared" si="7"/>
        <v>#REF!</v>
      </c>
      <c r="AD24" s="320" t="e">
        <f t="shared" si="8"/>
        <v>#REF!</v>
      </c>
    </row>
    <row r="25" spans="1:30">
      <c r="B25" s="207">
        <v>17</v>
      </c>
      <c r="C25" s="214">
        <v>57</v>
      </c>
      <c r="D25" s="214">
        <v>206</v>
      </c>
      <c r="E25" s="210">
        <v>1.4084000000000001</v>
      </c>
      <c r="F25" s="211">
        <v>1118.3699999999999</v>
      </c>
      <c r="G25" s="212" t="e">
        <f t="shared" si="2"/>
        <v>#REF!</v>
      </c>
      <c r="H25" s="237"/>
      <c r="I25" s="235"/>
      <c r="J25" s="236"/>
      <c r="K25" s="210">
        <f>SUM(I25/$C$48)</f>
        <v>0</v>
      </c>
      <c r="L25" s="342">
        <v>0</v>
      </c>
      <c r="M25" s="212">
        <v>0</v>
      </c>
      <c r="N25" s="262"/>
      <c r="O25" s="235"/>
      <c r="P25" s="267"/>
      <c r="Q25" s="270">
        <f>SUM(O25/$C$48)</f>
        <v>0</v>
      </c>
      <c r="R25" s="265">
        <v>0</v>
      </c>
      <c r="S25" s="212" t="e">
        <f t="shared" si="4"/>
        <v>#REF!</v>
      </c>
      <c r="T25" s="284">
        <v>0</v>
      </c>
      <c r="U25" s="212"/>
      <c r="V25" s="186">
        <f t="shared" si="1"/>
        <v>1.4084000000000001</v>
      </c>
      <c r="W25" s="175" t="s">
        <v>186</v>
      </c>
      <c r="X25" s="176" t="e">
        <f t="shared" si="5"/>
        <v>#REF!</v>
      </c>
      <c r="Y25" s="191"/>
      <c r="Z25" s="297"/>
      <c r="AA25" s="343">
        <f t="shared" si="9"/>
        <v>1118.3699999999999</v>
      </c>
      <c r="AB25" s="290" t="e">
        <f t="shared" si="6"/>
        <v>#REF!</v>
      </c>
      <c r="AC25" s="319" t="e">
        <f t="shared" si="7"/>
        <v>#REF!</v>
      </c>
      <c r="AD25" s="320" t="e">
        <f t="shared" si="8"/>
        <v>#REF!</v>
      </c>
    </row>
    <row r="26" spans="1:30">
      <c r="B26" s="207">
        <v>18</v>
      </c>
      <c r="C26" s="214">
        <v>137</v>
      </c>
      <c r="D26" s="214">
        <v>301</v>
      </c>
      <c r="E26" s="210">
        <v>3.3851</v>
      </c>
      <c r="F26" s="211">
        <v>2688.02</v>
      </c>
      <c r="G26" s="212" t="e">
        <f t="shared" si="2"/>
        <v>#REF!</v>
      </c>
      <c r="H26" s="234">
        <v>58</v>
      </c>
      <c r="I26" s="235">
        <v>6</v>
      </c>
      <c r="J26" s="236">
        <v>14</v>
      </c>
      <c r="K26" s="210">
        <v>0.14829999999999999</v>
      </c>
      <c r="L26" s="211">
        <v>85.04</v>
      </c>
      <c r="M26" s="212" t="e">
        <f t="shared" si="3"/>
        <v>#REF!</v>
      </c>
      <c r="N26" s="262"/>
      <c r="O26" s="235"/>
      <c r="P26" s="266"/>
      <c r="Q26" s="270">
        <f>SUM(O26/$C$48)</f>
        <v>0</v>
      </c>
      <c r="R26" s="265">
        <v>0</v>
      </c>
      <c r="S26" s="212" t="e">
        <f t="shared" si="4"/>
        <v>#REF!</v>
      </c>
      <c r="T26" s="284">
        <v>0</v>
      </c>
      <c r="U26" s="212"/>
      <c r="V26" s="186">
        <f t="shared" si="1"/>
        <v>3.5333999999999999</v>
      </c>
      <c r="W26" s="175" t="s">
        <v>181</v>
      </c>
      <c r="X26" s="176" t="e">
        <f t="shared" si="5"/>
        <v>#REF!</v>
      </c>
      <c r="Y26" s="191"/>
      <c r="Z26" s="297"/>
      <c r="AA26" s="343">
        <f t="shared" si="9"/>
        <v>2773.06</v>
      </c>
      <c r="AB26" s="290" t="e">
        <f t="shared" si="6"/>
        <v>#REF!</v>
      </c>
      <c r="AC26" s="319" t="e">
        <f t="shared" si="7"/>
        <v>#REF!</v>
      </c>
      <c r="AD26" s="320" t="e">
        <f t="shared" si="8"/>
        <v>#REF!</v>
      </c>
    </row>
    <row r="27" spans="1:30">
      <c r="B27" s="207">
        <v>19</v>
      </c>
      <c r="C27" s="214">
        <v>109</v>
      </c>
      <c r="D27" s="214">
        <v>302</v>
      </c>
      <c r="E27" s="210">
        <v>2.6932999999999998</v>
      </c>
      <c r="F27" s="211">
        <v>2138.6799999999998</v>
      </c>
      <c r="G27" s="212" t="e">
        <f t="shared" si="2"/>
        <v>#REF!</v>
      </c>
      <c r="H27" s="234">
        <v>62</v>
      </c>
      <c r="I27" s="235">
        <v>6</v>
      </c>
      <c r="J27" s="236">
        <v>10</v>
      </c>
      <c r="K27" s="210">
        <v>0.14829999999999999</v>
      </c>
      <c r="L27" s="211">
        <v>85.04</v>
      </c>
      <c r="M27" s="212" t="e">
        <f t="shared" si="3"/>
        <v>#REF!</v>
      </c>
      <c r="N27" s="262"/>
      <c r="O27" s="235"/>
      <c r="P27" s="266"/>
      <c r="Q27" s="270">
        <f>SUM(O27/$C$48)</f>
        <v>0</v>
      </c>
      <c r="R27" s="265">
        <v>0</v>
      </c>
      <c r="S27" s="212" t="e">
        <f t="shared" si="4"/>
        <v>#REF!</v>
      </c>
      <c r="T27" s="284">
        <v>0</v>
      </c>
      <c r="U27" s="212">
        <v>0</v>
      </c>
      <c r="V27" s="186">
        <f t="shared" si="1"/>
        <v>2.8415999999999997</v>
      </c>
      <c r="W27" s="175" t="s">
        <v>182</v>
      </c>
      <c r="X27" s="176" t="e">
        <f t="shared" si="5"/>
        <v>#REF!</v>
      </c>
      <c r="Y27" s="191"/>
      <c r="Z27" s="297"/>
      <c r="AA27" s="343">
        <f t="shared" si="9"/>
        <v>2223.7199999999998</v>
      </c>
      <c r="AB27" s="290" t="e">
        <f t="shared" si="6"/>
        <v>#REF!</v>
      </c>
      <c r="AC27" s="319" t="e">
        <f t="shared" si="7"/>
        <v>#REF!</v>
      </c>
      <c r="AD27" s="320" t="e">
        <f t="shared" si="8"/>
        <v>#REF!</v>
      </c>
    </row>
    <row r="28" spans="1:30">
      <c r="B28" s="207">
        <v>20</v>
      </c>
      <c r="C28" s="214">
        <v>155</v>
      </c>
      <c r="D28" s="214">
        <v>303</v>
      </c>
      <c r="E28" s="210">
        <v>3.83</v>
      </c>
      <c r="F28" s="211">
        <v>3041.3</v>
      </c>
      <c r="G28" s="212" t="e">
        <f t="shared" si="2"/>
        <v>#REF!</v>
      </c>
      <c r="H28" s="234">
        <v>50</v>
      </c>
      <c r="I28" s="235">
        <v>6</v>
      </c>
      <c r="J28" s="236">
        <v>23</v>
      </c>
      <c r="K28" s="210">
        <v>0.14829999999999999</v>
      </c>
      <c r="L28" s="211">
        <v>85.04</v>
      </c>
      <c r="M28" s="212" t="e">
        <f t="shared" si="3"/>
        <v>#REF!</v>
      </c>
      <c r="N28" s="268"/>
      <c r="O28" s="235"/>
      <c r="P28" s="266"/>
      <c r="Q28" s="269"/>
      <c r="R28" s="265">
        <v>0</v>
      </c>
      <c r="S28" s="212">
        <v>0</v>
      </c>
      <c r="T28" s="284">
        <v>0</v>
      </c>
      <c r="U28" s="212"/>
      <c r="V28" s="186">
        <f t="shared" si="1"/>
        <v>3.9782999999999999</v>
      </c>
      <c r="W28" s="175" t="s">
        <v>187</v>
      </c>
      <c r="X28" s="176" t="e">
        <f t="shared" si="5"/>
        <v>#REF!</v>
      </c>
      <c r="Y28" s="191"/>
      <c r="Z28" s="297"/>
      <c r="AA28" s="343">
        <f t="shared" si="9"/>
        <v>3126.34</v>
      </c>
      <c r="AB28" s="290" t="e">
        <f t="shared" si="6"/>
        <v>#REF!</v>
      </c>
      <c r="AC28" s="319" t="e">
        <f t="shared" si="7"/>
        <v>#REF!</v>
      </c>
      <c r="AD28" s="320" t="e">
        <f t="shared" si="8"/>
        <v>#REF!</v>
      </c>
    </row>
    <row r="29" spans="1:30">
      <c r="B29" s="207">
        <v>21</v>
      </c>
      <c r="C29" s="214">
        <v>141</v>
      </c>
      <c r="D29" s="214">
        <v>304</v>
      </c>
      <c r="E29" s="210">
        <v>3.4841000000000002</v>
      </c>
      <c r="F29" s="211">
        <v>2766.63</v>
      </c>
      <c r="G29" s="212" t="e">
        <f t="shared" si="2"/>
        <v>#REF!</v>
      </c>
      <c r="H29" s="237"/>
      <c r="I29" s="235"/>
      <c r="J29" s="236"/>
      <c r="K29" s="210">
        <f>SUM(I29/$C$48)</f>
        <v>0</v>
      </c>
      <c r="L29" s="342">
        <v>0</v>
      </c>
      <c r="M29" s="212">
        <v>0</v>
      </c>
      <c r="N29" s="262"/>
      <c r="O29" s="235"/>
      <c r="P29" s="266"/>
      <c r="Q29" s="264">
        <f t="shared" ref="Q29:Q43" si="10">SUM(O29/$C$48)</f>
        <v>0</v>
      </c>
      <c r="R29" s="265">
        <v>0</v>
      </c>
      <c r="S29" s="212" t="e">
        <f t="shared" si="4"/>
        <v>#REF!</v>
      </c>
      <c r="T29" s="284">
        <v>0</v>
      </c>
      <c r="U29" s="212"/>
      <c r="V29" s="186">
        <f t="shared" si="1"/>
        <v>3.4841000000000002</v>
      </c>
      <c r="W29" s="175" t="s">
        <v>188</v>
      </c>
      <c r="X29" s="176" t="e">
        <f t="shared" si="5"/>
        <v>#REF!</v>
      </c>
      <c r="Y29" s="191"/>
      <c r="Z29" s="297"/>
      <c r="AA29" s="343">
        <f t="shared" si="9"/>
        <v>2766.63</v>
      </c>
      <c r="AB29" s="290" t="e">
        <f t="shared" si="6"/>
        <v>#REF!</v>
      </c>
      <c r="AC29" s="319" t="e">
        <f t="shared" si="7"/>
        <v>#REF!</v>
      </c>
      <c r="AD29" s="320" t="e">
        <f t="shared" si="8"/>
        <v>#REF!</v>
      </c>
    </row>
    <row r="30" spans="1:30">
      <c r="B30" s="207">
        <v>22</v>
      </c>
      <c r="C30" s="214">
        <v>58</v>
      </c>
      <c r="D30" s="214">
        <v>305</v>
      </c>
      <c r="E30" s="210">
        <v>1.4332</v>
      </c>
      <c r="F30" s="211">
        <v>1138.07</v>
      </c>
      <c r="G30" s="212" t="e">
        <f t="shared" si="2"/>
        <v>#REF!</v>
      </c>
      <c r="H30" s="237"/>
      <c r="I30" s="235"/>
      <c r="J30" s="236"/>
      <c r="K30" s="210">
        <f>SUM(I30/$C$48)</f>
        <v>0</v>
      </c>
      <c r="L30" s="211">
        <v>0</v>
      </c>
      <c r="M30" s="212">
        <v>0</v>
      </c>
      <c r="N30" s="262"/>
      <c r="O30" s="235"/>
      <c r="P30" s="266"/>
      <c r="Q30" s="264">
        <f t="shared" si="10"/>
        <v>0</v>
      </c>
      <c r="R30" s="265">
        <v>0</v>
      </c>
      <c r="S30" s="212" t="e">
        <f t="shared" si="4"/>
        <v>#REF!</v>
      </c>
      <c r="T30" s="284">
        <v>0</v>
      </c>
      <c r="U30" s="212"/>
      <c r="V30" s="186">
        <f t="shared" si="1"/>
        <v>1.4332</v>
      </c>
      <c r="W30" s="175" t="s">
        <v>189</v>
      </c>
      <c r="X30" s="176" t="e">
        <f t="shared" si="5"/>
        <v>#REF!</v>
      </c>
      <c r="Y30" s="191"/>
      <c r="Z30" s="297"/>
      <c r="AA30" s="343">
        <f t="shared" si="9"/>
        <v>1138.07</v>
      </c>
      <c r="AB30" s="290" t="e">
        <f t="shared" si="6"/>
        <v>#REF!</v>
      </c>
      <c r="AC30" s="319" t="e">
        <f t="shared" si="7"/>
        <v>#REF!</v>
      </c>
      <c r="AD30" s="320" t="e">
        <f>MIN(40,MAX(0,0.02*(G30-500)))</f>
        <v>#REF!</v>
      </c>
    </row>
    <row r="31" spans="1:30">
      <c r="B31" s="207">
        <v>23</v>
      </c>
      <c r="C31" s="214">
        <v>57</v>
      </c>
      <c r="D31" s="214">
        <v>306</v>
      </c>
      <c r="E31" s="210">
        <v>1.4085000000000001</v>
      </c>
      <c r="F31" s="211">
        <v>1118.45</v>
      </c>
      <c r="G31" s="212" t="e">
        <f t="shared" si="2"/>
        <v>#REF!</v>
      </c>
      <c r="H31" s="234">
        <v>42</v>
      </c>
      <c r="I31" s="235">
        <v>6</v>
      </c>
      <c r="J31" s="236">
        <v>4</v>
      </c>
      <c r="K31" s="210">
        <v>0.14829999999999999</v>
      </c>
      <c r="L31" s="211">
        <v>85.04</v>
      </c>
      <c r="M31" s="212" t="e">
        <f t="shared" si="3"/>
        <v>#REF!</v>
      </c>
      <c r="N31" s="262"/>
      <c r="O31" s="235"/>
      <c r="P31" s="266"/>
      <c r="Q31" s="264">
        <f t="shared" si="10"/>
        <v>0</v>
      </c>
      <c r="R31" s="265">
        <v>0</v>
      </c>
      <c r="S31" s="212" t="e">
        <f t="shared" si="4"/>
        <v>#REF!</v>
      </c>
      <c r="T31" s="284">
        <v>0</v>
      </c>
      <c r="U31" s="212"/>
      <c r="V31" s="186">
        <f t="shared" si="1"/>
        <v>1.5568</v>
      </c>
      <c r="W31" s="175" t="s">
        <v>190</v>
      </c>
      <c r="X31" s="176" t="e">
        <f t="shared" si="5"/>
        <v>#REF!</v>
      </c>
      <c r="Y31" s="191"/>
      <c r="Z31" s="297"/>
      <c r="AA31" s="343">
        <f t="shared" si="9"/>
        <v>1203.49</v>
      </c>
      <c r="AB31" s="290" t="e">
        <f t="shared" si="6"/>
        <v>#REF!</v>
      </c>
      <c r="AC31" s="319" t="e">
        <f t="shared" si="7"/>
        <v>#REF!</v>
      </c>
      <c r="AD31" s="320" t="e">
        <f t="shared" si="8"/>
        <v>#REF!</v>
      </c>
    </row>
    <row r="32" spans="1:30">
      <c r="B32" s="207">
        <v>24</v>
      </c>
      <c r="C32" s="214">
        <v>137</v>
      </c>
      <c r="D32" s="214">
        <v>401</v>
      </c>
      <c r="E32" s="210">
        <v>3.3852000000000002</v>
      </c>
      <c r="F32" s="211">
        <v>2688.1</v>
      </c>
      <c r="G32" s="212" t="e">
        <f t="shared" si="2"/>
        <v>#REF!</v>
      </c>
      <c r="H32" s="237"/>
      <c r="I32" s="235"/>
      <c r="J32" s="236"/>
      <c r="K32" s="210">
        <f>SUM(I32/$C$48)</f>
        <v>0</v>
      </c>
      <c r="L32" s="342">
        <v>0</v>
      </c>
      <c r="M32" s="212">
        <v>0</v>
      </c>
      <c r="N32" s="262"/>
      <c r="O32" s="235"/>
      <c r="P32" s="266"/>
      <c r="Q32" s="264">
        <f t="shared" si="10"/>
        <v>0</v>
      </c>
      <c r="R32" s="265">
        <v>0</v>
      </c>
      <c r="S32" s="212" t="e">
        <f t="shared" si="4"/>
        <v>#REF!</v>
      </c>
      <c r="T32" s="284">
        <v>0</v>
      </c>
      <c r="U32" s="212"/>
      <c r="V32" s="186">
        <f t="shared" si="1"/>
        <v>3.3852000000000002</v>
      </c>
      <c r="W32" s="175" t="s">
        <v>191</v>
      </c>
      <c r="X32" s="176" t="e">
        <f t="shared" si="5"/>
        <v>#REF!</v>
      </c>
      <c r="Y32" s="191"/>
      <c r="Z32" s="297"/>
      <c r="AA32" s="343">
        <f t="shared" si="9"/>
        <v>2688.1</v>
      </c>
      <c r="AB32" s="290" t="e">
        <f t="shared" si="6"/>
        <v>#REF!</v>
      </c>
      <c r="AC32" s="319" t="e">
        <f t="shared" si="7"/>
        <v>#REF!</v>
      </c>
      <c r="AD32" s="320" t="e">
        <f t="shared" si="8"/>
        <v>#REF!</v>
      </c>
    </row>
    <row r="33" spans="1:110">
      <c r="B33" s="207">
        <v>25</v>
      </c>
      <c r="C33" s="214">
        <v>109</v>
      </c>
      <c r="D33" s="214">
        <v>402</v>
      </c>
      <c r="E33" s="210">
        <v>2.6934</v>
      </c>
      <c r="F33" s="211">
        <v>2138.7600000000002</v>
      </c>
      <c r="G33" s="212" t="e">
        <f t="shared" si="2"/>
        <v>#REF!</v>
      </c>
      <c r="H33" s="234">
        <v>52</v>
      </c>
      <c r="I33" s="235">
        <v>6</v>
      </c>
      <c r="J33" s="236">
        <v>25</v>
      </c>
      <c r="K33" s="210">
        <v>0.14829999999999999</v>
      </c>
      <c r="L33" s="211">
        <v>85.04</v>
      </c>
      <c r="M33" s="212" t="e">
        <f t="shared" si="3"/>
        <v>#REF!</v>
      </c>
      <c r="N33" s="262"/>
      <c r="O33" s="235"/>
      <c r="P33" s="266"/>
      <c r="Q33" s="264">
        <f t="shared" si="10"/>
        <v>0</v>
      </c>
      <c r="R33" s="265">
        <v>0</v>
      </c>
      <c r="S33" s="212" t="e">
        <f t="shared" si="4"/>
        <v>#REF!</v>
      </c>
      <c r="T33" s="284">
        <v>0</v>
      </c>
      <c r="U33" s="212"/>
      <c r="V33" s="186">
        <f t="shared" si="1"/>
        <v>2.8416999999999999</v>
      </c>
      <c r="W33" s="175" t="s">
        <v>192</v>
      </c>
      <c r="X33" s="176" t="e">
        <f t="shared" si="5"/>
        <v>#REF!</v>
      </c>
      <c r="Y33" s="191"/>
      <c r="Z33" s="297"/>
      <c r="AA33" s="343">
        <f t="shared" si="9"/>
        <v>2223.8000000000002</v>
      </c>
      <c r="AB33" s="290" t="e">
        <f t="shared" si="6"/>
        <v>#REF!</v>
      </c>
      <c r="AC33" s="319" t="e">
        <f t="shared" si="7"/>
        <v>#REF!</v>
      </c>
      <c r="AD33" s="320" t="e">
        <f t="shared" si="8"/>
        <v>#REF!</v>
      </c>
    </row>
    <row r="34" spans="1:110">
      <c r="B34" s="207">
        <v>26</v>
      </c>
      <c r="C34" s="214">
        <v>155</v>
      </c>
      <c r="D34" s="214">
        <v>403</v>
      </c>
      <c r="E34" s="210">
        <v>3.83</v>
      </c>
      <c r="F34" s="211">
        <v>3041.3</v>
      </c>
      <c r="G34" s="212" t="e">
        <f t="shared" si="2"/>
        <v>#REF!</v>
      </c>
      <c r="H34" s="234">
        <v>43</v>
      </c>
      <c r="I34" s="235">
        <v>6</v>
      </c>
      <c r="J34" s="236">
        <v>6</v>
      </c>
      <c r="K34" s="210">
        <v>0.14829999999999999</v>
      </c>
      <c r="L34" s="211">
        <v>85.04</v>
      </c>
      <c r="M34" s="212" t="e">
        <f t="shared" si="3"/>
        <v>#REF!</v>
      </c>
      <c r="N34" s="262"/>
      <c r="O34" s="235"/>
      <c r="P34" s="266"/>
      <c r="Q34" s="264">
        <f t="shared" si="10"/>
        <v>0</v>
      </c>
      <c r="R34" s="265">
        <v>0</v>
      </c>
      <c r="S34" s="212" t="e">
        <f t="shared" si="4"/>
        <v>#REF!</v>
      </c>
      <c r="T34" s="284">
        <v>140</v>
      </c>
      <c r="U34" s="212">
        <f>140*1.1</f>
        <v>154</v>
      </c>
      <c r="V34" s="186">
        <f t="shared" si="1"/>
        <v>3.9782999999999999</v>
      </c>
      <c r="W34" s="175" t="s">
        <v>187</v>
      </c>
      <c r="X34" s="176" t="e">
        <f t="shared" si="5"/>
        <v>#REF!</v>
      </c>
      <c r="Y34" s="191"/>
      <c r="Z34" s="297"/>
      <c r="AA34" s="343">
        <f t="shared" si="9"/>
        <v>3266.34</v>
      </c>
      <c r="AB34" s="290" t="e">
        <f t="shared" si="6"/>
        <v>#REF!</v>
      </c>
      <c r="AC34" s="319" t="e">
        <f t="shared" si="7"/>
        <v>#REF!</v>
      </c>
      <c r="AD34" s="320" t="e">
        <f t="shared" si="8"/>
        <v>#REF!</v>
      </c>
      <c r="AE34" s="153"/>
      <c r="AF34" s="153"/>
      <c r="AG34" s="153"/>
    </row>
    <row r="35" spans="1:110">
      <c r="B35" s="207">
        <v>27</v>
      </c>
      <c r="C35" s="214">
        <v>141</v>
      </c>
      <c r="D35" s="214">
        <v>404</v>
      </c>
      <c r="E35" s="210">
        <v>3.4841000000000002</v>
      </c>
      <c r="F35" s="211">
        <v>2766.63</v>
      </c>
      <c r="G35" s="212" t="e">
        <f t="shared" si="2"/>
        <v>#REF!</v>
      </c>
      <c r="H35" s="234">
        <v>55</v>
      </c>
      <c r="I35" s="235">
        <v>6</v>
      </c>
      <c r="J35" s="236">
        <v>17</v>
      </c>
      <c r="K35" s="210">
        <v>0.14829999999999999</v>
      </c>
      <c r="L35" s="211">
        <v>85.04</v>
      </c>
      <c r="M35" s="212" t="e">
        <f t="shared" si="3"/>
        <v>#REF!</v>
      </c>
      <c r="N35" s="262"/>
      <c r="O35" s="235"/>
      <c r="P35" s="266"/>
      <c r="Q35" s="264">
        <f t="shared" si="10"/>
        <v>0</v>
      </c>
      <c r="R35" s="265">
        <v>0</v>
      </c>
      <c r="S35" s="212" t="e">
        <f t="shared" si="4"/>
        <v>#REF!</v>
      </c>
      <c r="T35" s="284">
        <v>0</v>
      </c>
      <c r="U35" s="212"/>
      <c r="V35" s="186">
        <f t="shared" si="1"/>
        <v>3.6324000000000001</v>
      </c>
      <c r="W35" s="175" t="s">
        <v>193</v>
      </c>
      <c r="X35" s="176" t="e">
        <f t="shared" si="5"/>
        <v>#REF!</v>
      </c>
      <c r="Y35" s="191"/>
      <c r="Z35" s="297"/>
      <c r="AA35" s="343">
        <f t="shared" si="9"/>
        <v>2851.67</v>
      </c>
      <c r="AB35" s="290" t="e">
        <f t="shared" si="6"/>
        <v>#REF!</v>
      </c>
      <c r="AC35" s="319" t="e">
        <f t="shared" si="7"/>
        <v>#REF!</v>
      </c>
      <c r="AD35" s="320" t="e">
        <f t="shared" si="8"/>
        <v>#REF!</v>
      </c>
      <c r="AE35" s="153"/>
      <c r="AF35" s="153"/>
      <c r="AG35" s="153"/>
    </row>
    <row r="36" spans="1:110" s="152" customFormat="1">
      <c r="B36" s="207">
        <v>28</v>
      </c>
      <c r="C36" s="214">
        <v>58</v>
      </c>
      <c r="D36" s="214">
        <v>405</v>
      </c>
      <c r="E36" s="210">
        <v>1.4332</v>
      </c>
      <c r="F36" s="211">
        <v>1138.07</v>
      </c>
      <c r="G36" s="212" t="e">
        <f t="shared" si="2"/>
        <v>#REF!</v>
      </c>
      <c r="H36" s="237"/>
      <c r="I36" s="235"/>
      <c r="J36" s="236"/>
      <c r="K36" s="210">
        <f>SUM(I36/$C$48)</f>
        <v>0</v>
      </c>
      <c r="L36" s="342">
        <v>0</v>
      </c>
      <c r="M36" s="212">
        <v>0</v>
      </c>
      <c r="N36" s="262"/>
      <c r="O36" s="235"/>
      <c r="P36" s="266"/>
      <c r="Q36" s="264">
        <f t="shared" si="10"/>
        <v>0</v>
      </c>
      <c r="R36" s="265">
        <v>0</v>
      </c>
      <c r="S36" s="212" t="e">
        <f t="shared" si="4"/>
        <v>#REF!</v>
      </c>
      <c r="T36" s="284">
        <v>0</v>
      </c>
      <c r="U36" s="212"/>
      <c r="V36" s="186">
        <f t="shared" si="1"/>
        <v>1.4332</v>
      </c>
      <c r="W36" s="175" t="s">
        <v>189</v>
      </c>
      <c r="X36" s="176" t="e">
        <f t="shared" si="5"/>
        <v>#REF!</v>
      </c>
      <c r="Y36" s="191"/>
      <c r="Z36" s="297"/>
      <c r="AA36" s="343">
        <f t="shared" si="9"/>
        <v>1138.07</v>
      </c>
      <c r="AB36" s="290" t="e">
        <f t="shared" si="6"/>
        <v>#REF!</v>
      </c>
      <c r="AC36" s="319" t="e">
        <f t="shared" si="7"/>
        <v>#REF!</v>
      </c>
      <c r="AD36" s="320" t="e">
        <f t="shared" si="8"/>
        <v>#REF!</v>
      </c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</row>
    <row r="37" spans="1:110">
      <c r="B37" s="207">
        <v>29</v>
      </c>
      <c r="C37" s="214">
        <v>57</v>
      </c>
      <c r="D37" s="214">
        <v>406</v>
      </c>
      <c r="E37" s="210">
        <v>1.4085000000000001</v>
      </c>
      <c r="F37" s="211">
        <v>1118.45</v>
      </c>
      <c r="G37" s="212" t="e">
        <f t="shared" si="2"/>
        <v>#REF!</v>
      </c>
      <c r="H37" s="234">
        <v>54</v>
      </c>
      <c r="I37" s="235">
        <v>6</v>
      </c>
      <c r="J37" s="236">
        <v>18</v>
      </c>
      <c r="K37" s="210">
        <v>0.14829999999999999</v>
      </c>
      <c r="L37" s="211">
        <v>85.04</v>
      </c>
      <c r="M37" s="212" t="e">
        <f t="shared" si="3"/>
        <v>#REF!</v>
      </c>
      <c r="N37" s="262"/>
      <c r="O37" s="235"/>
      <c r="P37" s="266"/>
      <c r="Q37" s="264">
        <f t="shared" si="10"/>
        <v>0</v>
      </c>
      <c r="R37" s="265">
        <v>0</v>
      </c>
      <c r="S37" s="212" t="e">
        <f t="shared" si="4"/>
        <v>#REF!</v>
      </c>
      <c r="T37" s="284">
        <v>0</v>
      </c>
      <c r="U37" s="212"/>
      <c r="V37" s="186">
        <f t="shared" si="1"/>
        <v>1.5568</v>
      </c>
      <c r="W37" s="175" t="s">
        <v>190</v>
      </c>
      <c r="X37" s="176" t="e">
        <f t="shared" si="5"/>
        <v>#REF!</v>
      </c>
      <c r="Y37" s="191"/>
      <c r="Z37" s="297"/>
      <c r="AA37" s="343">
        <f t="shared" si="9"/>
        <v>1203.49</v>
      </c>
      <c r="AB37" s="290" t="e">
        <f t="shared" si="6"/>
        <v>#REF!</v>
      </c>
      <c r="AC37" s="319" t="e">
        <f t="shared" si="7"/>
        <v>#REF!</v>
      </c>
      <c r="AD37" s="320" t="e">
        <f t="shared" si="8"/>
        <v>#REF!</v>
      </c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</row>
    <row r="38" spans="1:110" s="152" customFormat="1">
      <c r="A38" s="348"/>
      <c r="B38" s="207">
        <v>30</v>
      </c>
      <c r="C38" s="214">
        <v>137</v>
      </c>
      <c r="D38" s="214">
        <v>501</v>
      </c>
      <c r="E38" s="210">
        <v>3.3852000000000002</v>
      </c>
      <c r="F38" s="211">
        <v>2688.1</v>
      </c>
      <c r="G38" s="212" t="e">
        <f t="shared" si="2"/>
        <v>#REF!</v>
      </c>
      <c r="H38" s="234">
        <v>44</v>
      </c>
      <c r="I38" s="235">
        <v>6</v>
      </c>
      <c r="J38" s="236">
        <v>8</v>
      </c>
      <c r="K38" s="210">
        <v>0.14829999999999999</v>
      </c>
      <c r="L38" s="211">
        <v>85.04</v>
      </c>
      <c r="M38" s="212" t="e">
        <f t="shared" si="3"/>
        <v>#REF!</v>
      </c>
      <c r="N38" s="262"/>
      <c r="O38" s="235"/>
      <c r="P38" s="266"/>
      <c r="Q38" s="264">
        <f t="shared" si="10"/>
        <v>0</v>
      </c>
      <c r="R38" s="265">
        <v>0</v>
      </c>
      <c r="S38" s="212" t="e">
        <f t="shared" si="4"/>
        <v>#REF!</v>
      </c>
      <c r="T38" s="284">
        <v>140</v>
      </c>
      <c r="U38" s="212">
        <f>140*1.1</f>
        <v>154</v>
      </c>
      <c r="V38" s="349">
        <f t="shared" si="1"/>
        <v>3.5335000000000001</v>
      </c>
      <c r="W38" s="175" t="s">
        <v>194</v>
      </c>
      <c r="X38" s="176" t="e">
        <f t="shared" si="5"/>
        <v>#REF!</v>
      </c>
      <c r="Y38" s="350"/>
      <c r="Z38" s="351"/>
      <c r="AA38" s="343">
        <f t="shared" si="9"/>
        <v>2913.14</v>
      </c>
      <c r="AB38" s="290" t="e">
        <f t="shared" si="6"/>
        <v>#REF!</v>
      </c>
      <c r="AC38" s="319" t="e">
        <f t="shared" si="7"/>
        <v>#REF!</v>
      </c>
      <c r="AD38" s="320" t="e">
        <f t="shared" si="8"/>
        <v>#REF!</v>
      </c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</row>
    <row r="39" spans="1:110">
      <c r="A39" s="348"/>
      <c r="B39" s="207">
        <v>31</v>
      </c>
      <c r="C39" s="214">
        <v>108</v>
      </c>
      <c r="D39" s="214">
        <v>502</v>
      </c>
      <c r="E39" s="210">
        <v>2.6686000000000001</v>
      </c>
      <c r="F39" s="211">
        <v>2119.06</v>
      </c>
      <c r="G39" s="212" t="e">
        <f t="shared" si="2"/>
        <v>#REF!</v>
      </c>
      <c r="H39" s="234">
        <v>41</v>
      </c>
      <c r="I39" s="235">
        <v>6</v>
      </c>
      <c r="J39" s="236">
        <v>5</v>
      </c>
      <c r="K39" s="210">
        <v>0.14829999999999999</v>
      </c>
      <c r="L39" s="211">
        <v>85.04</v>
      </c>
      <c r="M39" s="212" t="e">
        <f t="shared" si="3"/>
        <v>#REF!</v>
      </c>
      <c r="N39" s="262"/>
      <c r="O39" s="235"/>
      <c r="P39" s="266"/>
      <c r="Q39" s="264">
        <f t="shared" si="10"/>
        <v>0</v>
      </c>
      <c r="R39" s="265">
        <v>0</v>
      </c>
      <c r="S39" s="212" t="e">
        <f t="shared" si="4"/>
        <v>#REF!</v>
      </c>
      <c r="T39" s="284">
        <v>0</v>
      </c>
      <c r="U39" s="212"/>
      <c r="V39" s="349">
        <f t="shared" si="1"/>
        <v>2.8169</v>
      </c>
      <c r="W39" s="175" t="s">
        <v>195</v>
      </c>
      <c r="X39" s="176" t="e">
        <f t="shared" si="5"/>
        <v>#REF!</v>
      </c>
      <c r="Y39" s="350"/>
      <c r="Z39" s="351"/>
      <c r="AA39" s="343">
        <f t="shared" si="9"/>
        <v>2204.1</v>
      </c>
      <c r="AB39" s="290" t="e">
        <f t="shared" si="6"/>
        <v>#REF!</v>
      </c>
      <c r="AC39" s="319" t="e">
        <f t="shared" si="7"/>
        <v>#REF!</v>
      </c>
      <c r="AD39" s="320" t="e">
        <f t="shared" si="8"/>
        <v>#REF!</v>
      </c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</row>
    <row r="40" spans="1:110" s="152" customFormat="1">
      <c r="A40" s="348"/>
      <c r="B40" s="207">
        <v>32</v>
      </c>
      <c r="C40" s="214">
        <v>237</v>
      </c>
      <c r="D40" s="214">
        <v>503</v>
      </c>
      <c r="E40" s="210">
        <v>5.8562000000000003</v>
      </c>
      <c r="F40" s="211">
        <v>4650.25</v>
      </c>
      <c r="G40" s="212" t="e">
        <f t="shared" si="2"/>
        <v>#REF!</v>
      </c>
      <c r="H40" s="234">
        <v>53</v>
      </c>
      <c r="I40" s="235">
        <v>6</v>
      </c>
      <c r="J40" s="236">
        <v>19</v>
      </c>
      <c r="K40" s="210">
        <v>0.14829999999999999</v>
      </c>
      <c r="L40" s="211">
        <v>85.04</v>
      </c>
      <c r="M40" s="212" t="e">
        <f t="shared" si="3"/>
        <v>#REF!</v>
      </c>
      <c r="N40" s="268">
        <v>64</v>
      </c>
      <c r="O40" s="235">
        <v>30</v>
      </c>
      <c r="P40" s="266"/>
      <c r="Q40" s="352">
        <v>0.74129999999999996</v>
      </c>
      <c r="R40" s="265">
        <v>1524.42</v>
      </c>
      <c r="S40" s="212" t="e">
        <f t="shared" si="4"/>
        <v>#REF!</v>
      </c>
      <c r="T40" s="284">
        <v>0</v>
      </c>
      <c r="U40" s="212">
        <v>0</v>
      </c>
      <c r="V40" s="349">
        <f t="shared" si="1"/>
        <v>6.7458</v>
      </c>
      <c r="W40" s="175" t="s">
        <v>196</v>
      </c>
      <c r="X40" s="176" t="e">
        <f t="shared" si="5"/>
        <v>#REF!</v>
      </c>
      <c r="Y40" s="350"/>
      <c r="Z40" s="351"/>
      <c r="AA40" s="343">
        <f t="shared" si="9"/>
        <v>6259.71</v>
      </c>
      <c r="AB40" s="290" t="e">
        <f t="shared" si="6"/>
        <v>#REF!</v>
      </c>
      <c r="AC40" s="319" t="e">
        <f t="shared" si="7"/>
        <v>#REF!</v>
      </c>
      <c r="AD40" s="320" t="e">
        <f t="shared" si="8"/>
        <v>#REF!</v>
      </c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</row>
    <row r="41" spans="1:110">
      <c r="B41" s="207">
        <v>33</v>
      </c>
      <c r="C41" s="214">
        <v>158</v>
      </c>
      <c r="D41" s="214">
        <v>504</v>
      </c>
      <c r="E41" s="210">
        <v>3.9041000000000001</v>
      </c>
      <c r="F41" s="211">
        <v>3100.14</v>
      </c>
      <c r="G41" s="212" t="e">
        <f t="shared" si="2"/>
        <v>#REF!</v>
      </c>
      <c r="H41" s="234">
        <v>45</v>
      </c>
      <c r="I41" s="235">
        <v>6</v>
      </c>
      <c r="J41" s="236">
        <v>7</v>
      </c>
      <c r="K41" s="210">
        <v>0.14829999999999999</v>
      </c>
      <c r="L41" s="211">
        <v>85.04</v>
      </c>
      <c r="M41" s="212" t="e">
        <f t="shared" si="3"/>
        <v>#REF!</v>
      </c>
      <c r="N41" s="262"/>
      <c r="O41" s="235"/>
      <c r="P41" s="266"/>
      <c r="Q41" s="264">
        <f t="shared" si="10"/>
        <v>0</v>
      </c>
      <c r="R41" s="265">
        <v>0</v>
      </c>
      <c r="S41" s="212" t="e">
        <f t="shared" si="4"/>
        <v>#REF!</v>
      </c>
      <c r="T41" s="284">
        <v>0</v>
      </c>
      <c r="U41" s="212"/>
      <c r="V41" s="186">
        <f t="shared" si="1"/>
        <v>4.0524000000000004</v>
      </c>
      <c r="W41" s="175" t="s">
        <v>197</v>
      </c>
      <c r="X41" s="176" t="e">
        <f t="shared" si="5"/>
        <v>#REF!</v>
      </c>
      <c r="Y41" s="191"/>
      <c r="Z41" s="297"/>
      <c r="AA41" s="343">
        <f t="shared" si="9"/>
        <v>3185.18</v>
      </c>
      <c r="AB41" s="290" t="e">
        <f t="shared" si="6"/>
        <v>#REF!</v>
      </c>
      <c r="AC41" s="319" t="e">
        <f t="shared" si="7"/>
        <v>#REF!</v>
      </c>
      <c r="AD41" s="320" t="e">
        <f t="shared" si="8"/>
        <v>#REF!</v>
      </c>
      <c r="AE41" s="153"/>
      <c r="AF41" s="153"/>
      <c r="AG41" s="153"/>
    </row>
    <row r="42" spans="1:110">
      <c r="B42" s="207">
        <v>34</v>
      </c>
      <c r="C42" s="214">
        <v>58</v>
      </c>
      <c r="D42" s="214">
        <v>505</v>
      </c>
      <c r="E42" s="210">
        <v>1.4332</v>
      </c>
      <c r="F42" s="211">
        <v>1138.07</v>
      </c>
      <c r="G42" s="212" t="e">
        <f t="shared" si="2"/>
        <v>#REF!</v>
      </c>
      <c r="H42" s="237"/>
      <c r="I42" s="235"/>
      <c r="J42" s="236"/>
      <c r="K42" s="210"/>
      <c r="L42" s="211">
        <v>0</v>
      </c>
      <c r="M42" s="212">
        <v>0</v>
      </c>
      <c r="N42" s="262"/>
      <c r="O42" s="235"/>
      <c r="P42" s="266"/>
      <c r="Q42" s="264">
        <f t="shared" si="10"/>
        <v>0</v>
      </c>
      <c r="R42" s="265">
        <v>0</v>
      </c>
      <c r="S42" s="212" t="e">
        <f t="shared" si="4"/>
        <v>#REF!</v>
      </c>
      <c r="T42" s="284">
        <v>0</v>
      </c>
      <c r="U42" s="212"/>
      <c r="V42" s="186">
        <f t="shared" si="1"/>
        <v>1.4332</v>
      </c>
      <c r="W42" s="175" t="s">
        <v>189</v>
      </c>
      <c r="X42" s="176" t="e">
        <f t="shared" si="5"/>
        <v>#REF!</v>
      </c>
      <c r="Y42" s="191"/>
      <c r="Z42" s="297"/>
      <c r="AA42" s="343">
        <f t="shared" si="9"/>
        <v>1138.07</v>
      </c>
      <c r="AB42" s="290" t="e">
        <f t="shared" si="6"/>
        <v>#REF!</v>
      </c>
      <c r="AC42" s="319" t="e">
        <f t="shared" si="7"/>
        <v>#REF!</v>
      </c>
      <c r="AD42" s="320" t="e">
        <f t="shared" si="8"/>
        <v>#REF!</v>
      </c>
      <c r="AE42" s="153"/>
      <c r="AF42" s="153"/>
      <c r="AG42" s="153"/>
    </row>
    <row r="43" spans="1:110">
      <c r="B43" s="207">
        <v>35</v>
      </c>
      <c r="C43" s="214">
        <v>57</v>
      </c>
      <c r="D43" s="214">
        <v>506</v>
      </c>
      <c r="E43" s="210">
        <v>1.4085000000000001</v>
      </c>
      <c r="F43" s="211">
        <v>1118.45</v>
      </c>
      <c r="G43" s="212" t="e">
        <f t="shared" si="2"/>
        <v>#REF!</v>
      </c>
      <c r="H43" s="237"/>
      <c r="I43" s="235"/>
      <c r="J43" s="236"/>
      <c r="K43" s="210"/>
      <c r="L43" s="211">
        <v>0</v>
      </c>
      <c r="M43" s="212">
        <v>0</v>
      </c>
      <c r="N43" s="262"/>
      <c r="O43" s="235"/>
      <c r="P43" s="266"/>
      <c r="Q43" s="264">
        <f t="shared" si="10"/>
        <v>0</v>
      </c>
      <c r="R43" s="265">
        <v>0</v>
      </c>
      <c r="S43" s="212" t="e">
        <f t="shared" si="4"/>
        <v>#REF!</v>
      </c>
      <c r="T43" s="284">
        <v>0</v>
      </c>
      <c r="U43" s="212"/>
      <c r="V43" s="186">
        <f t="shared" si="1"/>
        <v>1.4085000000000001</v>
      </c>
      <c r="W43" s="175" t="s">
        <v>198</v>
      </c>
      <c r="X43" s="176" t="e">
        <f t="shared" si="5"/>
        <v>#REF!</v>
      </c>
      <c r="Y43" s="191"/>
      <c r="Z43" s="297"/>
      <c r="AA43" s="343">
        <f t="shared" si="9"/>
        <v>1118.45</v>
      </c>
      <c r="AB43" s="290" t="e">
        <f t="shared" si="6"/>
        <v>#REF!</v>
      </c>
      <c r="AC43" s="319" t="e">
        <f t="shared" si="7"/>
        <v>#REF!</v>
      </c>
      <c r="AD43" s="320" t="e">
        <f t="shared" si="8"/>
        <v>#REF!</v>
      </c>
    </row>
    <row r="44" spans="1:110">
      <c r="B44" s="207"/>
      <c r="C44" s="214"/>
      <c r="D44" s="214"/>
      <c r="E44" s="210"/>
      <c r="F44" s="213">
        <v>0</v>
      </c>
      <c r="G44" s="212" t="e">
        <f t="shared" si="2"/>
        <v>#REF!</v>
      </c>
      <c r="H44" s="234">
        <v>36</v>
      </c>
      <c r="I44" s="235">
        <v>18</v>
      </c>
      <c r="J44" s="238" t="s">
        <v>158</v>
      </c>
      <c r="K44" s="210">
        <v>0.44479999999999997</v>
      </c>
      <c r="L44" s="239">
        <v>255.06</v>
      </c>
      <c r="M44" s="212" t="e">
        <f t="shared" si="3"/>
        <v>#REF!</v>
      </c>
      <c r="N44" s="262"/>
      <c r="O44" s="235"/>
      <c r="P44" s="266"/>
      <c r="Q44" s="271"/>
      <c r="R44" s="265">
        <v>0</v>
      </c>
      <c r="S44" s="212" t="e">
        <f t="shared" si="4"/>
        <v>#REF!</v>
      </c>
      <c r="T44" s="284">
        <v>0</v>
      </c>
      <c r="U44" s="212"/>
      <c r="V44" s="186">
        <f t="shared" si="1"/>
        <v>0.44479999999999997</v>
      </c>
      <c r="W44" s="175" t="s">
        <v>199</v>
      </c>
      <c r="X44" s="176" t="e">
        <f t="shared" si="5"/>
        <v>#REF!</v>
      </c>
      <c r="Y44" s="191"/>
      <c r="Z44" s="297"/>
      <c r="AA44" s="343">
        <f t="shared" si="9"/>
        <v>255.06</v>
      </c>
      <c r="AB44" s="290" t="e">
        <f t="shared" si="6"/>
        <v>#REF!</v>
      </c>
      <c r="AC44" s="319" t="e">
        <f>(AB44-AA44)/AA44</f>
        <v>#REF!</v>
      </c>
      <c r="AD44" s="320" t="e">
        <f t="shared" si="8"/>
        <v>#REF!</v>
      </c>
    </row>
    <row r="45" spans="1:110">
      <c r="B45" s="215"/>
      <c r="C45" s="216"/>
      <c r="D45" s="216"/>
      <c r="E45" s="217"/>
      <c r="F45" s="218">
        <v>0</v>
      </c>
      <c r="G45" s="212" t="e">
        <f t="shared" si="2"/>
        <v>#REF!</v>
      </c>
      <c r="H45" s="240">
        <v>59</v>
      </c>
      <c r="I45" s="241">
        <v>6</v>
      </c>
      <c r="J45" s="242" t="s">
        <v>159</v>
      </c>
      <c r="K45" s="217">
        <v>0.14829999999999999</v>
      </c>
      <c r="L45" s="243">
        <v>85.04</v>
      </c>
      <c r="M45" s="212" t="e">
        <f t="shared" si="3"/>
        <v>#REF!</v>
      </c>
      <c r="N45" s="272"/>
      <c r="O45" s="241"/>
      <c r="P45" s="273"/>
      <c r="Q45" s="274"/>
      <c r="R45" s="265">
        <v>0</v>
      </c>
      <c r="S45" s="212" t="e">
        <f t="shared" si="4"/>
        <v>#REF!</v>
      </c>
      <c r="T45" s="285">
        <v>0</v>
      </c>
      <c r="U45" s="286"/>
      <c r="V45" s="186">
        <f t="shared" si="1"/>
        <v>0.14829999999999999</v>
      </c>
      <c r="W45" s="177" t="s">
        <v>180</v>
      </c>
      <c r="X45" s="176" t="e">
        <f t="shared" si="5"/>
        <v>#REF!</v>
      </c>
      <c r="Y45" s="192"/>
      <c r="Z45" s="299"/>
      <c r="AA45" s="343">
        <f t="shared" si="9"/>
        <v>85.04</v>
      </c>
      <c r="AB45" s="290" t="e">
        <f t="shared" si="6"/>
        <v>#REF!</v>
      </c>
      <c r="AC45" s="319" t="e">
        <f t="shared" si="7"/>
        <v>#REF!</v>
      </c>
      <c r="AD45" s="320" t="e">
        <f t="shared" si="8"/>
        <v>#REF!</v>
      </c>
    </row>
    <row r="46" spans="1:110" s="168" customFormat="1" ht="15" customHeight="1">
      <c r="B46" s="219" t="s">
        <v>161</v>
      </c>
      <c r="C46" s="220"/>
      <c r="D46" s="220"/>
      <c r="E46" s="220"/>
      <c r="F46" s="221"/>
      <c r="G46" s="212" t="e">
        <f t="shared" si="2"/>
        <v>#REF!</v>
      </c>
      <c r="H46" s="244"/>
      <c r="I46" s="245"/>
      <c r="J46" s="246"/>
      <c r="K46" s="247"/>
      <c r="L46" s="211" t="s">
        <v>179</v>
      </c>
      <c r="M46" s="212">
        <v>0</v>
      </c>
      <c r="N46" s="275"/>
      <c r="O46" s="245"/>
      <c r="P46" s="276"/>
      <c r="Q46" s="277"/>
      <c r="R46" s="265">
        <v>0</v>
      </c>
      <c r="S46" s="212" t="e">
        <f t="shared" si="4"/>
        <v>#REF!</v>
      </c>
      <c r="T46" s="284">
        <v>0</v>
      </c>
      <c r="U46" s="278"/>
      <c r="V46" s="186">
        <f t="shared" si="1"/>
        <v>0</v>
      </c>
      <c r="W46" s="178"/>
      <c r="X46" s="176"/>
      <c r="Y46" s="191">
        <v>2750</v>
      </c>
      <c r="Z46" s="297">
        <v>2750</v>
      </c>
      <c r="AA46" s="343">
        <v>2750</v>
      </c>
      <c r="AB46" s="290" t="e">
        <f t="shared" si="6"/>
        <v>#REF!</v>
      </c>
      <c r="AC46" s="319" t="e">
        <f t="shared" si="7"/>
        <v>#REF!</v>
      </c>
      <c r="AD46" s="320" t="e">
        <f t="shared" si="8"/>
        <v>#REF!</v>
      </c>
    </row>
    <row r="47" spans="1:110" ht="15" thickBot="1">
      <c r="B47" s="222" t="s">
        <v>169</v>
      </c>
      <c r="C47" s="223"/>
      <c r="D47" s="223"/>
      <c r="E47" s="223"/>
      <c r="F47" s="224"/>
      <c r="G47" s="212" t="e">
        <f t="shared" si="2"/>
        <v>#REF!</v>
      </c>
      <c r="H47" s="237"/>
      <c r="I47" s="235"/>
      <c r="J47" s="236"/>
      <c r="K47" s="210"/>
      <c r="L47" s="211" t="s">
        <v>179</v>
      </c>
      <c r="M47" s="212">
        <v>0</v>
      </c>
      <c r="N47" s="262"/>
      <c r="O47" s="235"/>
      <c r="P47" s="266"/>
      <c r="Q47" s="264"/>
      <c r="R47" s="265">
        <v>0</v>
      </c>
      <c r="S47" s="212" t="e">
        <f t="shared" si="4"/>
        <v>#REF!</v>
      </c>
      <c r="T47" s="284">
        <v>0</v>
      </c>
      <c r="U47" s="212"/>
      <c r="V47" s="186">
        <f t="shared" si="1"/>
        <v>0</v>
      </c>
      <c r="W47" s="179"/>
      <c r="X47" s="176"/>
      <c r="Y47" s="300">
        <v>500</v>
      </c>
      <c r="Z47" s="301">
        <v>500</v>
      </c>
      <c r="AA47" s="343">
        <v>500</v>
      </c>
      <c r="AB47" s="290" t="e">
        <f t="shared" si="6"/>
        <v>#REF!</v>
      </c>
      <c r="AC47" s="319" t="e">
        <f t="shared" si="7"/>
        <v>#REF!</v>
      </c>
      <c r="AD47" s="320" t="e">
        <f t="shared" si="8"/>
        <v>#REF!</v>
      </c>
    </row>
    <row r="48" spans="1:110" s="134" customFormat="1" ht="15" thickBot="1">
      <c r="B48" s="225"/>
      <c r="C48" s="226">
        <f>SUM(C7:C47)</f>
        <v>3796</v>
      </c>
      <c r="D48" s="226"/>
      <c r="E48" s="227">
        <f>SUM(E7:E47)</f>
        <v>93.796699999999987</v>
      </c>
      <c r="F48" s="228">
        <v>74481.48</v>
      </c>
      <c r="G48" s="229" t="e">
        <f>SUM(G8:G47)</f>
        <v>#REF!</v>
      </c>
      <c r="H48" s="248"/>
      <c r="I48" s="249">
        <f>SUM(I7:I47)</f>
        <v>214</v>
      </c>
      <c r="J48" s="250"/>
      <c r="K48" s="251">
        <f>SUM(K7:K47)</f>
        <v>5.2889999999999979</v>
      </c>
      <c r="L48" s="252">
        <v>3032.8</v>
      </c>
      <c r="M48" s="229" t="e">
        <f>SUM(M8:M47)</f>
        <v>#REF!</v>
      </c>
      <c r="N48" s="248"/>
      <c r="O48" s="249">
        <f>SUM(O8:O47)</f>
        <v>37</v>
      </c>
      <c r="P48" s="279"/>
      <c r="Q48" s="280">
        <f>SUM(Q7:Q47)</f>
        <v>0.91429999999999989</v>
      </c>
      <c r="R48" s="281">
        <f>SUM(R8:R47)</f>
        <v>1880.18</v>
      </c>
      <c r="S48" s="229" t="e">
        <f t="shared" ref="S48:X48" si="11">SUM(S8:S47)</f>
        <v>#REF!</v>
      </c>
      <c r="T48" s="287">
        <f t="shared" si="11"/>
        <v>560</v>
      </c>
      <c r="U48" s="229">
        <f t="shared" si="11"/>
        <v>616</v>
      </c>
      <c r="V48" s="182">
        <f t="shared" si="11"/>
        <v>100.00000000000003</v>
      </c>
      <c r="W48" s="173">
        <v>35264.660000000003</v>
      </c>
      <c r="X48" s="165" t="e">
        <f t="shared" si="11"/>
        <v>#REF!</v>
      </c>
      <c r="Y48" s="193">
        <f>SUM(Y7:Y47)</f>
        <v>3250</v>
      </c>
      <c r="Z48" s="162">
        <f>SUM(Z7:Z47)</f>
        <v>3250</v>
      </c>
      <c r="AA48" s="291">
        <f>SUM(AA8:AA47)</f>
        <v>83204.539999999994</v>
      </c>
      <c r="AB48" s="291" t="e">
        <f>SUM(AB7:AB47)</f>
        <v>#REF!</v>
      </c>
      <c r="AC48" s="321"/>
      <c r="AD48" s="322" t="e">
        <f>SUM(AD8:AD47)</f>
        <v>#REF!</v>
      </c>
    </row>
    <row r="49" spans="2:29" hidden="1">
      <c r="B49" s="606"/>
      <c r="C49" s="606"/>
      <c r="D49" s="122"/>
      <c r="E49" s="149"/>
      <c r="F49" s="131" t="e">
        <f>#REF!</f>
        <v>#REF!</v>
      </c>
      <c r="G49" s="131" t="e">
        <f>G48</f>
        <v>#REF!</v>
      </c>
      <c r="H49" s="135"/>
      <c r="I49" s="119"/>
      <c r="J49" s="120"/>
      <c r="K49" s="150"/>
      <c r="L49" s="131" t="e">
        <f>#REF!</f>
        <v>#REF!</v>
      </c>
      <c r="M49" s="167" t="e">
        <f>M48</f>
        <v>#REF!</v>
      </c>
      <c r="N49" s="135"/>
      <c r="O49" s="119"/>
      <c r="P49" s="131"/>
      <c r="Q49" s="136"/>
      <c r="R49" s="161" t="e">
        <f>#REF!</f>
        <v>#REF!</v>
      </c>
      <c r="S49" s="167" t="e">
        <f>S48</f>
        <v>#REF!</v>
      </c>
      <c r="T49" s="132" t="e">
        <f>#REF!</f>
        <v>#REF!</v>
      </c>
      <c r="U49" s="131">
        <v>560</v>
      </c>
      <c r="V49" s="167"/>
      <c r="W49" s="137" t="e">
        <f>#REF!</f>
        <v>#REF!</v>
      </c>
      <c r="X49" s="167" t="e">
        <f>#REF!</f>
        <v>#REF!</v>
      </c>
      <c r="Y49" s="194" t="e">
        <f>#REF!</f>
        <v>#REF!</v>
      </c>
      <c r="Z49" s="137"/>
      <c r="AA49" s="131" t="e">
        <f>F49+L49+R49+T49+W49+Y49</f>
        <v>#REF!</v>
      </c>
      <c r="AB49" s="121" t="e">
        <f>G48+M48+S48+U48+X48+Z48</f>
        <v>#REF!</v>
      </c>
      <c r="AC49" s="122"/>
    </row>
    <row r="50" spans="2:29" s="154" customFormat="1" hidden="1">
      <c r="B50" s="170"/>
      <c r="C50" s="155"/>
      <c r="D50" s="155"/>
      <c r="E50" s="156"/>
      <c r="F50" s="157" t="e">
        <f>F48-F49</f>
        <v>#REF!</v>
      </c>
      <c r="G50" s="157"/>
      <c r="H50" s="155"/>
      <c r="I50" s="155"/>
      <c r="J50" s="155"/>
      <c r="K50" s="156"/>
      <c r="L50" s="157" t="e">
        <f>L48-L49</f>
        <v>#REF!</v>
      </c>
      <c r="M50" s="171"/>
      <c r="N50" s="155"/>
      <c r="O50" s="155"/>
      <c r="Q50" s="156"/>
      <c r="R50" s="156" t="e">
        <f>R48-R49</f>
        <v>#REF!</v>
      </c>
      <c r="S50" s="171"/>
      <c r="T50" s="158"/>
      <c r="V50" s="171"/>
      <c r="W50" s="159"/>
      <c r="X50" s="171"/>
      <c r="Y50" s="195"/>
      <c r="Z50" s="159"/>
      <c r="AA50" s="157" t="e">
        <f>AA49-AA48</f>
        <v>#REF!</v>
      </c>
      <c r="AB50" s="157" t="e">
        <f>AB48-AB49</f>
        <v>#REF!</v>
      </c>
      <c r="AC50" s="155"/>
    </row>
    <row r="51" spans="2:29" hidden="1">
      <c r="X51" s="187"/>
    </row>
    <row r="52" spans="2:29" hidden="1">
      <c r="P52" s="148"/>
    </row>
    <row r="53" spans="2:29" hidden="1">
      <c r="P53" s="148"/>
    </row>
    <row r="54" spans="2:29">
      <c r="G54" s="139" t="e">
        <f>#REF!</f>
        <v>#REF!</v>
      </c>
      <c r="M54" s="172" t="e">
        <f>#REF!</f>
        <v>#REF!</v>
      </c>
      <c r="S54" s="172" t="e">
        <f>#REF!</f>
        <v>#REF!</v>
      </c>
      <c r="U54" s="147" t="e">
        <f>#REF!</f>
        <v>#REF!</v>
      </c>
      <c r="Z54" s="146">
        <v>3250</v>
      </c>
      <c r="AB54" s="139" t="e">
        <f>SUM(G54:AA54)</f>
        <v>#REF!</v>
      </c>
    </row>
    <row r="55" spans="2:29">
      <c r="AB55" s="333"/>
    </row>
  </sheetData>
  <mergeCells count="10">
    <mergeCell ref="AA5:AB5"/>
    <mergeCell ref="B49:C49"/>
    <mergeCell ref="B2:H2"/>
    <mergeCell ref="B3:H3"/>
    <mergeCell ref="T5:U5"/>
    <mergeCell ref="W5:X5"/>
    <mergeCell ref="N5:S5"/>
    <mergeCell ref="B5:G5"/>
    <mergeCell ref="H5:M5"/>
    <mergeCell ref="Y5:Z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13"/>
  <sheetViews>
    <sheetView topLeftCell="A82" zoomScaleNormal="100" workbookViewId="0">
      <selection activeCell="G115" sqref="G115"/>
    </sheetView>
  </sheetViews>
  <sheetFormatPr baseColWidth="10" defaultColWidth="8.83203125" defaultRowHeight="16"/>
  <cols>
    <col min="1" max="1" width="2.33203125" customWidth="1"/>
    <col min="2" max="2" width="6.5" style="114" customWidth="1"/>
    <col min="3" max="3" width="62.5" style="115" customWidth="1"/>
    <col min="4" max="4" width="1.5" style="115" customWidth="1"/>
    <col min="5" max="5" width="12.83203125" style="116" customWidth="1"/>
    <col min="6" max="6" width="6.5" style="115" customWidth="1"/>
    <col min="7" max="7" width="11.33203125" style="115" customWidth="1"/>
    <col min="8" max="9" width="17.5" style="115" bestFit="1" customWidth="1"/>
    <col min="10" max="10" width="1.1640625" customWidth="1"/>
    <col min="11" max="11" width="12.6640625" style="84" hidden="1" customWidth="1"/>
    <col min="12" max="12" width="1.5" hidden="1" customWidth="1"/>
    <col min="13" max="13" width="6.5" hidden="1" customWidth="1"/>
    <col min="14" max="14" width="35.33203125" hidden="1" customWidth="1"/>
    <col min="15" max="15" width="50.1640625" hidden="1" customWidth="1"/>
    <col min="16" max="16" width="52.6640625" hidden="1" customWidth="1"/>
    <col min="17" max="17" width="1" hidden="1" customWidth="1"/>
    <col min="22" max="22" width="9.6640625" customWidth="1"/>
    <col min="23" max="23" width="14.5" customWidth="1"/>
    <col min="25" max="25" width="13.5" customWidth="1"/>
  </cols>
  <sheetData>
    <row r="1" spans="1:22" ht="17" thickBot="1">
      <c r="A1" s="26"/>
      <c r="B1" s="27"/>
      <c r="C1" s="28"/>
      <c r="D1" s="29"/>
      <c r="E1" s="30"/>
      <c r="F1" s="28"/>
      <c r="G1" s="28"/>
      <c r="H1" s="28"/>
      <c r="I1" s="28"/>
      <c r="J1" s="26"/>
      <c r="K1" s="31"/>
      <c r="L1" s="26"/>
      <c r="M1" s="26"/>
      <c r="N1" s="32"/>
      <c r="O1" s="32"/>
      <c r="P1" s="32"/>
      <c r="Q1" s="26"/>
      <c r="R1" s="32"/>
    </row>
    <row r="2" spans="1:22" ht="15" customHeight="1">
      <c r="A2" s="33"/>
      <c r="B2" s="623" t="s">
        <v>48</v>
      </c>
      <c r="C2" s="624"/>
      <c r="D2" s="624"/>
      <c r="E2" s="624"/>
      <c r="F2" s="625"/>
      <c r="G2" s="34"/>
      <c r="H2" s="34"/>
      <c r="I2" s="34"/>
      <c r="J2" s="35"/>
      <c r="K2" s="36"/>
      <c r="L2" s="37"/>
      <c r="M2" s="629" t="s">
        <v>49</v>
      </c>
      <c r="N2" s="630"/>
      <c r="O2" s="630"/>
      <c r="P2" s="631"/>
      <c r="Q2" s="33"/>
      <c r="R2" s="32"/>
    </row>
    <row r="3" spans="1:22" ht="37.5" customHeight="1" thickBot="1">
      <c r="A3" s="38"/>
      <c r="B3" s="626"/>
      <c r="C3" s="627"/>
      <c r="D3" s="627"/>
      <c r="E3" s="627"/>
      <c r="F3" s="628"/>
      <c r="G3" s="39"/>
      <c r="H3" s="39"/>
      <c r="I3" s="39"/>
      <c r="J3" s="35"/>
      <c r="K3" s="36"/>
      <c r="L3" s="37"/>
      <c r="M3" s="632"/>
      <c r="N3" s="633"/>
      <c r="O3" s="633"/>
      <c r="P3" s="634"/>
      <c r="Q3" s="35"/>
      <c r="R3" s="32"/>
    </row>
    <row r="4" spans="1:22" ht="32.25" customHeight="1" thickBot="1">
      <c r="A4" s="35"/>
      <c r="B4" s="635" t="s">
        <v>50</v>
      </c>
      <c r="C4" s="636"/>
      <c r="D4" s="636"/>
      <c r="E4" s="636"/>
      <c r="F4" s="636"/>
      <c r="G4" s="636"/>
      <c r="H4" s="636"/>
      <c r="I4" s="637"/>
      <c r="J4" s="35"/>
      <c r="K4" s="40"/>
      <c r="L4" s="37"/>
      <c r="M4" s="41"/>
      <c r="N4" s="41"/>
      <c r="O4" s="41"/>
      <c r="P4" s="42"/>
      <c r="Q4" s="35"/>
      <c r="R4" s="32"/>
    </row>
    <row r="5" spans="1:22" ht="19" thickBot="1">
      <c r="A5" s="35"/>
      <c r="B5" s="43"/>
      <c r="C5" s="44" t="s">
        <v>51</v>
      </c>
      <c r="D5" s="45"/>
      <c r="E5" s="638" t="s">
        <v>174</v>
      </c>
      <c r="F5" s="639"/>
      <c r="G5" s="639"/>
      <c r="H5" s="639"/>
      <c r="I5" s="640"/>
      <c r="J5" s="35"/>
      <c r="K5" s="40"/>
      <c r="L5" s="37"/>
      <c r="M5" s="46"/>
      <c r="N5" s="46"/>
      <c r="O5" s="46"/>
      <c r="P5" s="47"/>
      <c r="Q5" s="35"/>
      <c r="R5" s="32"/>
    </row>
    <row r="6" spans="1:22" ht="18" thickBot="1">
      <c r="A6" s="35"/>
      <c r="B6" s="48" t="s">
        <v>52</v>
      </c>
      <c r="C6" s="49" t="s">
        <v>53</v>
      </c>
      <c r="D6" s="45"/>
      <c r="E6" s="50" t="s">
        <v>54</v>
      </c>
      <c r="F6" s="51" t="s">
        <v>55</v>
      </c>
      <c r="G6" s="52" t="s">
        <v>56</v>
      </c>
      <c r="H6" s="51" t="s">
        <v>57</v>
      </c>
      <c r="I6" s="51" t="s">
        <v>58</v>
      </c>
      <c r="J6" s="53"/>
      <c r="K6" s="40"/>
      <c r="L6" s="37"/>
      <c r="M6" s="54" t="s">
        <v>55</v>
      </c>
      <c r="N6" s="54" t="s">
        <v>56</v>
      </c>
      <c r="O6" s="54" t="s">
        <v>57</v>
      </c>
      <c r="P6" s="54" t="s">
        <v>58</v>
      </c>
      <c r="Q6" s="35"/>
      <c r="R6" s="32"/>
    </row>
    <row r="7" spans="1:22" ht="8.25" hidden="1" customHeight="1">
      <c r="A7" s="35"/>
      <c r="B7" s="55"/>
      <c r="C7" s="56"/>
      <c r="D7" s="57"/>
      <c r="E7" s="58"/>
      <c r="F7" s="58"/>
      <c r="G7" s="58"/>
      <c r="H7" s="58"/>
      <c r="I7" s="59"/>
      <c r="J7" s="60"/>
      <c r="K7" s="61"/>
      <c r="L7" s="60"/>
      <c r="M7" s="641"/>
      <c r="N7" s="642"/>
      <c r="O7" s="642"/>
      <c r="P7" s="643"/>
      <c r="Q7" s="35"/>
      <c r="R7" s="32"/>
    </row>
    <row r="8" spans="1:22" ht="17" thickBot="1">
      <c r="A8" s="35"/>
      <c r="B8" s="48">
        <v>1</v>
      </c>
      <c r="C8" s="62" t="s">
        <v>59</v>
      </c>
      <c r="D8" s="45"/>
      <c r="E8" s="63"/>
      <c r="F8" s="63"/>
      <c r="G8" s="63"/>
      <c r="H8" s="63"/>
      <c r="I8" s="64"/>
      <c r="J8" s="53"/>
      <c r="K8" s="40"/>
      <c r="L8" s="37"/>
      <c r="M8" s="65"/>
      <c r="N8" s="66"/>
      <c r="O8" s="66"/>
      <c r="P8" s="67"/>
      <c r="Q8" s="35"/>
      <c r="R8" s="32"/>
    </row>
    <row r="9" spans="1:22">
      <c r="A9" s="35"/>
      <c r="B9" s="55">
        <v>1.1000000000000001</v>
      </c>
      <c r="C9" s="68" t="s">
        <v>60</v>
      </c>
      <c r="D9" s="45"/>
      <c r="E9" s="69" t="s">
        <v>61</v>
      </c>
      <c r="F9" s="69" t="s">
        <v>52</v>
      </c>
      <c r="G9" s="70">
        <v>1</v>
      </c>
      <c r="H9" s="71">
        <v>3499.2000000000003</v>
      </c>
      <c r="I9" s="72">
        <v>3499.2000000000003</v>
      </c>
      <c r="J9" s="35"/>
      <c r="K9" s="73"/>
      <c r="L9" s="53"/>
      <c r="M9" s="74" t="s">
        <v>52</v>
      </c>
      <c r="N9" s="75">
        <v>1</v>
      </c>
      <c r="O9" s="76">
        <v>3499.2000000000003</v>
      </c>
      <c r="P9" s="77">
        <v>3499.2000000000003</v>
      </c>
      <c r="Q9" s="35"/>
      <c r="R9" s="32"/>
    </row>
    <row r="10" spans="1:22" hidden="1">
      <c r="A10" s="35"/>
      <c r="B10" s="55">
        <v>1.2</v>
      </c>
      <c r="C10" s="68" t="s">
        <v>62</v>
      </c>
      <c r="D10" s="45"/>
      <c r="E10" s="69" t="s">
        <v>63</v>
      </c>
      <c r="F10" s="69" t="s">
        <v>63</v>
      </c>
      <c r="G10" s="70">
        <v>0</v>
      </c>
      <c r="H10" s="71">
        <v>0</v>
      </c>
      <c r="I10" s="72">
        <v>0</v>
      </c>
      <c r="J10" s="35"/>
      <c r="K10" s="73"/>
      <c r="L10" s="53"/>
      <c r="M10" s="74" t="s">
        <v>52</v>
      </c>
      <c r="N10" s="75">
        <v>0</v>
      </c>
      <c r="O10" s="76">
        <v>4665.6000000000004</v>
      </c>
      <c r="P10" s="77">
        <v>0</v>
      </c>
      <c r="Q10" s="35"/>
      <c r="R10" s="32"/>
    </row>
    <row r="11" spans="1:22">
      <c r="A11" s="35"/>
      <c r="B11" s="55">
        <v>1.3</v>
      </c>
      <c r="C11" s="68" t="s">
        <v>64</v>
      </c>
      <c r="D11" s="45"/>
      <c r="E11" s="69" t="s">
        <v>61</v>
      </c>
      <c r="F11" s="69" t="s">
        <v>52</v>
      </c>
      <c r="G11" s="70">
        <v>1</v>
      </c>
      <c r="H11" s="71">
        <v>2916</v>
      </c>
      <c r="I11" s="72">
        <v>2916</v>
      </c>
      <c r="J11" s="35"/>
      <c r="K11" s="73"/>
      <c r="L11" s="53"/>
      <c r="M11" s="74" t="s">
        <v>52</v>
      </c>
      <c r="N11" s="75">
        <v>1</v>
      </c>
      <c r="O11" s="76">
        <v>2916</v>
      </c>
      <c r="P11" s="77">
        <v>2916</v>
      </c>
      <c r="Q11" s="35"/>
      <c r="R11" s="32"/>
    </row>
    <row r="12" spans="1:22" ht="17" thickBot="1">
      <c r="A12" s="35"/>
      <c r="B12" s="55"/>
      <c r="C12" s="68"/>
      <c r="D12" s="45"/>
      <c r="E12" s="69"/>
      <c r="F12" s="69"/>
      <c r="G12" s="70"/>
      <c r="H12" s="71"/>
      <c r="I12" s="78"/>
      <c r="J12" s="35"/>
      <c r="K12" s="73"/>
      <c r="L12" s="53"/>
      <c r="M12" s="79"/>
      <c r="N12" s="75"/>
      <c r="O12" s="76"/>
      <c r="P12" s="80"/>
      <c r="Q12" s="35"/>
      <c r="R12" s="32"/>
    </row>
    <row r="13" spans="1:22" s="84" customFormat="1" ht="15.75" customHeight="1" thickBot="1">
      <c r="A13" s="35"/>
      <c r="B13" s="55"/>
      <c r="C13" s="81"/>
      <c r="D13" s="45"/>
      <c r="E13" s="82"/>
      <c r="F13" s="615" t="s">
        <v>23</v>
      </c>
      <c r="G13" s="616"/>
      <c r="H13" s="617">
        <v>6415.2000000000007</v>
      </c>
      <c r="I13" s="618"/>
      <c r="J13" s="35"/>
      <c r="K13" s="36"/>
      <c r="L13" s="37"/>
      <c r="M13" s="619" t="s">
        <v>23</v>
      </c>
      <c r="N13" s="620"/>
      <c r="O13" s="621">
        <v>6415.2000000000007</v>
      </c>
      <c r="P13" s="622"/>
      <c r="Q13" s="35"/>
      <c r="R13" s="83"/>
      <c r="T13" s="85"/>
    </row>
    <row r="14" spans="1:22" ht="17" thickBot="1">
      <c r="A14" s="35"/>
      <c r="B14" s="55">
        <v>2</v>
      </c>
      <c r="C14" s="86" t="s">
        <v>65</v>
      </c>
      <c r="D14" s="45"/>
      <c r="E14" s="63"/>
      <c r="F14" s="63"/>
      <c r="G14" s="63"/>
      <c r="H14" s="63"/>
      <c r="I14" s="64"/>
      <c r="J14" s="53"/>
      <c r="K14" s="40"/>
      <c r="L14" s="37"/>
      <c r="M14" s="65"/>
      <c r="N14" s="66"/>
      <c r="O14" s="66"/>
      <c r="P14" s="67"/>
      <c r="Q14" s="35"/>
      <c r="R14" s="32"/>
    </row>
    <row r="15" spans="1:22">
      <c r="A15" s="35"/>
      <c r="B15" s="55">
        <v>2.1</v>
      </c>
      <c r="C15" s="68" t="s">
        <v>66</v>
      </c>
      <c r="D15" s="45"/>
      <c r="E15" s="69" t="s">
        <v>61</v>
      </c>
      <c r="F15" s="69" t="s">
        <v>52</v>
      </c>
      <c r="G15" s="70">
        <v>1</v>
      </c>
      <c r="H15" s="71">
        <v>6998.4000000000005</v>
      </c>
      <c r="I15" s="72">
        <v>6998.4000000000005</v>
      </c>
      <c r="J15" s="35"/>
      <c r="K15" s="36"/>
      <c r="L15" s="53"/>
      <c r="M15" s="79" t="s">
        <v>52</v>
      </c>
      <c r="N15" s="75">
        <v>1</v>
      </c>
      <c r="O15" s="80">
        <v>6998.4000000000005</v>
      </c>
      <c r="P15" s="76">
        <v>6998.4000000000005</v>
      </c>
      <c r="Q15" s="35"/>
      <c r="R15" s="32"/>
      <c r="V15" s="87"/>
    </row>
    <row r="16" spans="1:22" hidden="1">
      <c r="A16" s="35"/>
      <c r="B16" s="55">
        <v>2.2000000000000002</v>
      </c>
      <c r="C16" s="68" t="s">
        <v>67</v>
      </c>
      <c r="D16" s="45"/>
      <c r="E16" s="69" t="s">
        <v>63</v>
      </c>
      <c r="F16" s="69" t="s">
        <v>63</v>
      </c>
      <c r="G16" s="70">
        <v>0</v>
      </c>
      <c r="H16" s="71">
        <v>0</v>
      </c>
      <c r="I16" s="72">
        <v>0</v>
      </c>
      <c r="J16" s="35"/>
      <c r="K16" s="36"/>
      <c r="L16" s="53"/>
      <c r="M16" s="79" t="s">
        <v>52</v>
      </c>
      <c r="N16" s="75">
        <v>1</v>
      </c>
      <c r="O16" s="80">
        <v>110808.00000000001</v>
      </c>
      <c r="P16" s="76">
        <v>110808.00000000001</v>
      </c>
      <c r="Q16" s="35"/>
      <c r="R16" s="32"/>
      <c r="V16" s="87"/>
    </row>
    <row r="17" spans="1:24" hidden="1">
      <c r="A17" s="35"/>
      <c r="B17" s="55">
        <v>2.2999999999999998</v>
      </c>
      <c r="C17" s="68" t="s">
        <v>68</v>
      </c>
      <c r="D17" s="45"/>
      <c r="E17" s="69" t="s">
        <v>63</v>
      </c>
      <c r="F17" s="69" t="s">
        <v>63</v>
      </c>
      <c r="G17" s="70">
        <v>0</v>
      </c>
      <c r="H17" s="71">
        <v>0</v>
      </c>
      <c r="I17" s="72">
        <v>0</v>
      </c>
      <c r="J17" s="35"/>
      <c r="K17" s="36"/>
      <c r="L17" s="53"/>
      <c r="M17" s="79" t="s">
        <v>52</v>
      </c>
      <c r="N17" s="75">
        <v>1</v>
      </c>
      <c r="O17" s="80">
        <v>4665.6000000000004</v>
      </c>
      <c r="P17" s="76">
        <v>4665.6000000000004</v>
      </c>
      <c r="Q17" s="35"/>
      <c r="R17" s="32"/>
      <c r="V17" s="87"/>
    </row>
    <row r="18" spans="1:24" hidden="1">
      <c r="A18" s="35"/>
      <c r="B18" s="55">
        <v>2.4</v>
      </c>
      <c r="C18" s="68" t="s">
        <v>69</v>
      </c>
      <c r="D18" s="45"/>
      <c r="E18" s="69" t="s">
        <v>63</v>
      </c>
      <c r="F18" s="69" t="s">
        <v>63</v>
      </c>
      <c r="G18" s="70">
        <v>0</v>
      </c>
      <c r="H18" s="71">
        <v>0</v>
      </c>
      <c r="I18" s="72">
        <v>0</v>
      </c>
      <c r="J18" s="35"/>
      <c r="K18" s="36"/>
      <c r="L18" s="53"/>
      <c r="M18" s="79" t="s">
        <v>52</v>
      </c>
      <c r="N18" s="75">
        <v>0</v>
      </c>
      <c r="O18" s="80">
        <v>6998.4000000000005</v>
      </c>
      <c r="P18" s="76">
        <v>0</v>
      </c>
      <c r="Q18" s="35"/>
      <c r="R18" s="32"/>
      <c r="V18" s="87"/>
      <c r="X18" s="87"/>
    </row>
    <row r="19" spans="1:24" ht="17" thickBot="1">
      <c r="A19" s="35"/>
      <c r="B19" s="55"/>
      <c r="C19" s="68"/>
      <c r="D19" s="45"/>
      <c r="E19" s="88"/>
      <c r="F19" s="70"/>
      <c r="G19" s="70"/>
      <c r="H19" s="89"/>
      <c r="I19" s="89"/>
      <c r="J19" s="35"/>
      <c r="K19" s="36"/>
      <c r="L19" s="37"/>
      <c r="M19" s="90"/>
      <c r="N19" s="90"/>
      <c r="O19" s="91"/>
      <c r="P19" s="91"/>
      <c r="Q19" s="35"/>
      <c r="R19" s="32"/>
      <c r="V19" s="87"/>
      <c r="X19" s="87"/>
    </row>
    <row r="20" spans="1:24" s="84" customFormat="1" ht="15.75" customHeight="1" thickBot="1">
      <c r="A20" s="35"/>
      <c r="B20" s="55"/>
      <c r="C20" s="68"/>
      <c r="D20" s="45"/>
      <c r="E20" s="82"/>
      <c r="F20" s="615" t="s">
        <v>23</v>
      </c>
      <c r="G20" s="616"/>
      <c r="H20" s="644">
        <v>6998.4000000000005</v>
      </c>
      <c r="I20" s="645"/>
      <c r="J20" s="35"/>
      <c r="K20" s="36"/>
      <c r="L20" s="37"/>
      <c r="M20" s="619" t="s">
        <v>23</v>
      </c>
      <c r="N20" s="620"/>
      <c r="O20" s="621">
        <v>122472.00000000001</v>
      </c>
      <c r="P20" s="622"/>
      <c r="Q20" s="35"/>
      <c r="R20" s="83"/>
    </row>
    <row r="21" spans="1:24" ht="17" hidden="1" thickBot="1">
      <c r="A21" s="35"/>
      <c r="B21" s="55">
        <v>3</v>
      </c>
      <c r="C21" s="86" t="s">
        <v>70</v>
      </c>
      <c r="D21" s="45"/>
      <c r="E21" s="63"/>
      <c r="F21" s="63"/>
      <c r="G21" s="63"/>
      <c r="H21" s="63"/>
      <c r="I21" s="64"/>
      <c r="J21" s="53"/>
      <c r="K21" s="40"/>
      <c r="L21" s="37"/>
      <c r="M21" s="65"/>
      <c r="N21" s="66"/>
      <c r="O21" s="66"/>
      <c r="P21" s="67"/>
      <c r="Q21" s="35"/>
      <c r="R21" s="32"/>
    </row>
    <row r="22" spans="1:24" ht="17" hidden="1" thickBot="1">
      <c r="A22" s="35"/>
      <c r="B22" s="55">
        <v>3.1</v>
      </c>
      <c r="C22" s="68" t="s">
        <v>71</v>
      </c>
      <c r="D22" s="45"/>
      <c r="E22" s="69" t="s">
        <v>63</v>
      </c>
      <c r="F22" s="69" t="s">
        <v>63</v>
      </c>
      <c r="G22" s="70">
        <v>0</v>
      </c>
      <c r="H22" s="71">
        <v>0</v>
      </c>
      <c r="I22" s="72">
        <v>0</v>
      </c>
      <c r="J22" s="35"/>
      <c r="K22" s="36"/>
      <c r="L22" s="53"/>
      <c r="M22" s="79" t="s">
        <v>52</v>
      </c>
      <c r="N22" s="75">
        <v>0</v>
      </c>
      <c r="O22" s="80">
        <v>5832</v>
      </c>
      <c r="P22" s="76">
        <v>0</v>
      </c>
      <c r="Q22" s="35"/>
      <c r="R22" s="32"/>
      <c r="V22" s="87"/>
    </row>
    <row r="23" spans="1:24" ht="17" hidden="1" thickBot="1">
      <c r="A23" s="35"/>
      <c r="B23" s="55">
        <v>3.2</v>
      </c>
      <c r="C23" s="68" t="s">
        <v>72</v>
      </c>
      <c r="D23" s="45"/>
      <c r="E23" s="69" t="s">
        <v>63</v>
      </c>
      <c r="F23" s="69" t="s">
        <v>63</v>
      </c>
      <c r="G23" s="70">
        <v>0</v>
      </c>
      <c r="H23" s="71">
        <v>0</v>
      </c>
      <c r="I23" s="72">
        <v>0</v>
      </c>
      <c r="J23" s="35"/>
      <c r="K23" s="36"/>
      <c r="L23" s="53"/>
      <c r="M23" s="79" t="s">
        <v>52</v>
      </c>
      <c r="N23" s="75">
        <v>0</v>
      </c>
      <c r="O23" s="80">
        <v>11664</v>
      </c>
      <c r="P23" s="76">
        <v>0</v>
      </c>
      <c r="Q23" s="35"/>
      <c r="R23" s="32"/>
      <c r="V23" s="87"/>
    </row>
    <row r="24" spans="1:24" ht="17" hidden="1" thickBot="1">
      <c r="A24" s="35"/>
      <c r="B24" s="55"/>
      <c r="C24" s="68"/>
      <c r="D24" s="45"/>
      <c r="E24" s="92"/>
      <c r="F24" s="70"/>
      <c r="G24" s="70"/>
      <c r="H24" s="71"/>
      <c r="I24" s="71"/>
      <c r="J24" s="35"/>
      <c r="K24" s="36"/>
      <c r="L24" s="53"/>
      <c r="M24" s="75"/>
      <c r="N24" s="75"/>
      <c r="O24" s="80"/>
      <c r="P24" s="76"/>
      <c r="Q24" s="35"/>
      <c r="R24" s="32"/>
      <c r="V24" s="87"/>
      <c r="X24" s="87"/>
    </row>
    <row r="25" spans="1:24" s="84" customFormat="1" ht="15.75" hidden="1" customHeight="1">
      <c r="A25" s="35"/>
      <c r="B25" s="55"/>
      <c r="C25" s="68"/>
      <c r="D25" s="45"/>
      <c r="E25" s="82"/>
      <c r="F25" s="615" t="s">
        <v>23</v>
      </c>
      <c r="G25" s="616"/>
      <c r="H25" s="617">
        <v>0</v>
      </c>
      <c r="I25" s="618"/>
      <c r="J25" s="35"/>
      <c r="K25" s="36"/>
      <c r="L25" s="37"/>
      <c r="M25" s="619" t="s">
        <v>23</v>
      </c>
      <c r="N25" s="620"/>
      <c r="O25" s="621">
        <v>0</v>
      </c>
      <c r="P25" s="622"/>
      <c r="Q25" s="35"/>
      <c r="R25" s="83"/>
    </row>
    <row r="26" spans="1:24" ht="17" hidden="1" thickBot="1">
      <c r="A26" s="35"/>
      <c r="B26" s="55">
        <v>4</v>
      </c>
      <c r="C26" s="86" t="s">
        <v>73</v>
      </c>
      <c r="D26" s="45"/>
      <c r="E26" s="63"/>
      <c r="F26" s="63"/>
      <c r="G26" s="63"/>
      <c r="H26" s="63"/>
      <c r="I26" s="64"/>
      <c r="J26" s="53"/>
      <c r="K26" s="40"/>
      <c r="L26" s="37"/>
      <c r="M26" s="65"/>
      <c r="N26" s="66"/>
      <c r="O26" s="66"/>
      <c r="P26" s="67"/>
      <c r="Q26" s="35"/>
      <c r="R26" s="32"/>
    </row>
    <row r="27" spans="1:24" ht="17" hidden="1" thickBot="1">
      <c r="A27" s="35"/>
      <c r="B27" s="55">
        <v>4.0999999999999996</v>
      </c>
      <c r="C27" s="68" t="s">
        <v>74</v>
      </c>
      <c r="D27" s="45"/>
      <c r="E27" s="69" t="s">
        <v>63</v>
      </c>
      <c r="F27" s="69" t="s">
        <v>63</v>
      </c>
      <c r="G27" s="70">
        <v>0</v>
      </c>
      <c r="H27" s="71">
        <v>0</v>
      </c>
      <c r="I27" s="72">
        <v>0</v>
      </c>
      <c r="J27" s="35"/>
      <c r="K27" s="36"/>
      <c r="L27" s="53"/>
      <c r="M27" s="79" t="s">
        <v>52</v>
      </c>
      <c r="N27" s="75">
        <v>1</v>
      </c>
      <c r="O27" s="80">
        <v>87480</v>
      </c>
      <c r="P27" s="76">
        <v>87480</v>
      </c>
      <c r="Q27" s="35"/>
      <c r="R27" s="32"/>
      <c r="V27" s="87"/>
    </row>
    <row r="28" spans="1:24" ht="17" hidden="1" thickBot="1">
      <c r="A28" s="35"/>
      <c r="B28" s="55"/>
      <c r="C28" s="68"/>
      <c r="D28" s="45"/>
      <c r="E28" s="92"/>
      <c r="F28" s="70"/>
      <c r="G28" s="70"/>
      <c r="H28" s="71"/>
      <c r="I28" s="71"/>
      <c r="J28" s="35"/>
      <c r="K28" s="36"/>
      <c r="L28" s="53"/>
      <c r="M28" s="75"/>
      <c r="N28" s="75"/>
      <c r="O28" s="80"/>
      <c r="P28" s="76"/>
      <c r="Q28" s="35"/>
      <c r="R28" s="32"/>
      <c r="V28" s="87"/>
      <c r="X28" s="87"/>
    </row>
    <row r="29" spans="1:24" s="84" customFormat="1" ht="15.75" hidden="1" customHeight="1">
      <c r="A29" s="35"/>
      <c r="B29" s="55"/>
      <c r="C29" s="68"/>
      <c r="D29" s="45"/>
      <c r="E29" s="82"/>
      <c r="F29" s="615" t="s">
        <v>23</v>
      </c>
      <c r="G29" s="616"/>
      <c r="H29" s="617">
        <v>0</v>
      </c>
      <c r="I29" s="618"/>
      <c r="J29" s="35"/>
      <c r="K29" s="36"/>
      <c r="L29" s="37"/>
      <c r="M29" s="619" t="s">
        <v>23</v>
      </c>
      <c r="N29" s="620"/>
      <c r="O29" s="621">
        <v>87480</v>
      </c>
      <c r="P29" s="622"/>
      <c r="Q29" s="35"/>
      <c r="R29" s="83"/>
    </row>
    <row r="30" spans="1:24" ht="17" thickBot="1">
      <c r="A30" s="35"/>
      <c r="B30" s="55">
        <v>5</v>
      </c>
      <c r="C30" s="62" t="s">
        <v>75</v>
      </c>
      <c r="D30" s="45"/>
      <c r="E30" s="63"/>
      <c r="F30" s="63"/>
      <c r="G30" s="63"/>
      <c r="H30" s="63"/>
      <c r="I30" s="64"/>
      <c r="J30" s="53"/>
      <c r="K30" s="40"/>
      <c r="L30" s="37"/>
      <c r="M30" s="65"/>
      <c r="N30" s="66"/>
      <c r="O30" s="66"/>
      <c r="P30" s="67"/>
      <c r="Q30" s="35"/>
      <c r="R30" s="32"/>
    </row>
    <row r="31" spans="1:24">
      <c r="A31" s="35"/>
      <c r="B31" s="55">
        <v>5.0999999999999996</v>
      </c>
      <c r="C31" s="68" t="s">
        <v>35</v>
      </c>
      <c r="D31" s="45"/>
      <c r="E31" s="69" t="s">
        <v>61</v>
      </c>
      <c r="F31" s="69" t="s">
        <v>52</v>
      </c>
      <c r="G31" s="70">
        <v>1</v>
      </c>
      <c r="H31" s="71">
        <v>2332.8000000000002</v>
      </c>
      <c r="I31" s="72">
        <v>2332.8000000000002</v>
      </c>
      <c r="J31" s="35"/>
      <c r="K31" s="36"/>
      <c r="L31" s="53"/>
      <c r="M31" s="79" t="s">
        <v>52</v>
      </c>
      <c r="N31" s="75">
        <v>1</v>
      </c>
      <c r="O31" s="80">
        <v>2332.8000000000002</v>
      </c>
      <c r="P31" s="76">
        <v>2332.8000000000002</v>
      </c>
      <c r="Q31" s="35"/>
      <c r="R31" s="32"/>
      <c r="V31" s="87"/>
    </row>
    <row r="32" spans="1:24" ht="17" thickBot="1">
      <c r="A32" s="35"/>
      <c r="B32" s="55"/>
      <c r="C32" s="68"/>
      <c r="D32" s="45"/>
      <c r="E32" s="92"/>
      <c r="F32" s="70"/>
      <c r="G32" s="70"/>
      <c r="H32" s="71"/>
      <c r="I32" s="71"/>
      <c r="J32" s="35"/>
      <c r="K32" s="36"/>
      <c r="L32" s="53"/>
      <c r="M32" s="75"/>
      <c r="N32" s="75"/>
      <c r="O32" s="80"/>
      <c r="P32" s="76"/>
      <c r="Q32" s="35"/>
      <c r="R32" s="32"/>
      <c r="V32" s="87"/>
      <c r="X32" s="87"/>
    </row>
    <row r="33" spans="1:18" s="84" customFormat="1" ht="15.75" customHeight="1" thickBot="1">
      <c r="A33" s="35"/>
      <c r="B33" s="55"/>
      <c r="C33" s="93"/>
      <c r="D33" s="45"/>
      <c r="E33" s="82"/>
      <c r="F33" s="615" t="s">
        <v>23</v>
      </c>
      <c r="G33" s="616"/>
      <c r="H33" s="617">
        <v>2332.8000000000002</v>
      </c>
      <c r="I33" s="618"/>
      <c r="J33" s="35"/>
      <c r="K33" s="36"/>
      <c r="L33" s="37"/>
      <c r="M33" s="619" t="s">
        <v>23</v>
      </c>
      <c r="N33" s="620"/>
      <c r="O33" s="621">
        <v>2332.8000000000002</v>
      </c>
      <c r="P33" s="622"/>
      <c r="Q33" s="35"/>
      <c r="R33" s="83"/>
    </row>
    <row r="34" spans="1:18" ht="17" thickBot="1">
      <c r="A34" s="35"/>
      <c r="B34" s="55">
        <v>6</v>
      </c>
      <c r="C34" s="86" t="s">
        <v>76</v>
      </c>
      <c r="D34" s="45"/>
      <c r="E34" s="63"/>
      <c r="F34" s="63"/>
      <c r="G34" s="63"/>
      <c r="H34" s="63"/>
      <c r="I34" s="64"/>
      <c r="J34" s="53"/>
      <c r="K34" s="40"/>
      <c r="L34" s="37"/>
      <c r="M34" s="65"/>
      <c r="N34" s="66"/>
      <c r="O34" s="66"/>
      <c r="P34" s="67"/>
      <c r="Q34" s="35"/>
      <c r="R34" s="32"/>
    </row>
    <row r="35" spans="1:18" hidden="1">
      <c r="A35" s="35"/>
      <c r="B35" s="55">
        <v>6.1</v>
      </c>
      <c r="C35" s="68" t="s">
        <v>77</v>
      </c>
      <c r="D35" s="45"/>
      <c r="E35" s="69" t="s">
        <v>63</v>
      </c>
      <c r="F35" s="69" t="s">
        <v>63</v>
      </c>
      <c r="G35" s="70">
        <v>0</v>
      </c>
      <c r="H35" s="71">
        <v>0</v>
      </c>
      <c r="I35" s="72">
        <v>0</v>
      </c>
      <c r="J35" s="35"/>
      <c r="K35" s="36"/>
      <c r="L35" s="53"/>
      <c r="M35" s="75" t="s">
        <v>52</v>
      </c>
      <c r="N35" s="75">
        <v>0</v>
      </c>
      <c r="O35" s="76">
        <v>10497.6</v>
      </c>
      <c r="P35" s="77">
        <v>0</v>
      </c>
      <c r="Q35" s="35"/>
      <c r="R35" s="32"/>
    </row>
    <row r="36" spans="1:18" hidden="1">
      <c r="A36" s="35"/>
      <c r="B36" s="55">
        <v>6.2</v>
      </c>
      <c r="C36" s="68" t="s">
        <v>78</v>
      </c>
      <c r="D36" s="45"/>
      <c r="E36" s="69" t="s">
        <v>63</v>
      </c>
      <c r="F36" s="69" t="s">
        <v>63</v>
      </c>
      <c r="G36" s="70">
        <v>0</v>
      </c>
      <c r="H36" s="71">
        <v>0</v>
      </c>
      <c r="I36" s="72">
        <v>0</v>
      </c>
      <c r="J36" s="35"/>
      <c r="K36" s="36"/>
      <c r="L36" s="53"/>
      <c r="M36" s="75" t="s">
        <v>52</v>
      </c>
      <c r="N36" s="75">
        <v>0</v>
      </c>
      <c r="O36" s="76">
        <v>11664</v>
      </c>
      <c r="P36" s="77">
        <v>0</v>
      </c>
      <c r="Q36" s="35"/>
      <c r="R36" s="32"/>
    </row>
    <row r="37" spans="1:18" hidden="1">
      <c r="A37" s="35"/>
      <c r="B37" s="55">
        <v>6.3</v>
      </c>
      <c r="C37" s="68" t="s">
        <v>79</v>
      </c>
      <c r="D37" s="45"/>
      <c r="E37" s="69" t="s">
        <v>63</v>
      </c>
      <c r="F37" s="69" t="s">
        <v>63</v>
      </c>
      <c r="G37" s="70">
        <v>0</v>
      </c>
      <c r="H37" s="71">
        <v>0</v>
      </c>
      <c r="I37" s="72">
        <v>0</v>
      </c>
      <c r="J37" s="35"/>
      <c r="K37" s="36"/>
      <c r="L37" s="53"/>
      <c r="M37" s="75" t="s">
        <v>52</v>
      </c>
      <c r="N37" s="75">
        <v>0</v>
      </c>
      <c r="O37" s="76">
        <v>4082.4000000000005</v>
      </c>
      <c r="P37" s="77">
        <v>0</v>
      </c>
      <c r="Q37" s="35"/>
      <c r="R37" s="32"/>
    </row>
    <row r="38" spans="1:18" hidden="1">
      <c r="A38" s="35"/>
      <c r="B38" s="55">
        <v>6.4</v>
      </c>
      <c r="C38" s="68" t="s">
        <v>80</v>
      </c>
      <c r="D38" s="45"/>
      <c r="E38" s="69" t="s">
        <v>63</v>
      </c>
      <c r="F38" s="69" t="s">
        <v>63</v>
      </c>
      <c r="G38" s="70">
        <v>0</v>
      </c>
      <c r="H38" s="71">
        <v>0</v>
      </c>
      <c r="I38" s="72">
        <v>0</v>
      </c>
      <c r="J38" s="35"/>
      <c r="K38" s="36"/>
      <c r="L38" s="53"/>
      <c r="M38" s="75" t="s">
        <v>81</v>
      </c>
      <c r="N38" s="75">
        <v>0</v>
      </c>
      <c r="O38" s="76">
        <v>3499.2000000000003</v>
      </c>
      <c r="P38" s="77">
        <v>0</v>
      </c>
      <c r="Q38" s="35"/>
      <c r="R38" s="32"/>
    </row>
    <row r="39" spans="1:18" hidden="1">
      <c r="A39" s="35"/>
      <c r="B39" s="55">
        <v>6.5</v>
      </c>
      <c r="C39" s="68" t="s">
        <v>82</v>
      </c>
      <c r="D39" s="45"/>
      <c r="E39" s="69" t="s">
        <v>63</v>
      </c>
      <c r="F39" s="69" t="s">
        <v>63</v>
      </c>
      <c r="G39" s="70">
        <v>0</v>
      </c>
      <c r="H39" s="71">
        <v>0</v>
      </c>
      <c r="I39" s="72">
        <v>0</v>
      </c>
      <c r="J39" s="35"/>
      <c r="K39" s="36"/>
      <c r="L39" s="53"/>
      <c r="M39" s="75" t="s">
        <v>81</v>
      </c>
      <c r="N39" s="75">
        <v>0</v>
      </c>
      <c r="O39" s="76">
        <v>4665.6000000000004</v>
      </c>
      <c r="P39" s="77">
        <v>0</v>
      </c>
      <c r="Q39" s="35"/>
      <c r="R39" s="32"/>
    </row>
    <row r="40" spans="1:18">
      <c r="A40" s="35"/>
      <c r="B40" s="55">
        <v>6.6</v>
      </c>
      <c r="C40" s="68" t="s">
        <v>83</v>
      </c>
      <c r="D40" s="45"/>
      <c r="E40" s="69" t="s">
        <v>61</v>
      </c>
      <c r="F40" s="69" t="s">
        <v>52</v>
      </c>
      <c r="G40" s="70">
        <v>1</v>
      </c>
      <c r="H40" s="71">
        <v>3207.6000000000004</v>
      </c>
      <c r="I40" s="72">
        <v>3207.6000000000004</v>
      </c>
      <c r="J40" s="35"/>
      <c r="K40" s="36"/>
      <c r="L40" s="53"/>
      <c r="M40" s="75" t="s">
        <v>84</v>
      </c>
      <c r="N40" s="75">
        <v>110</v>
      </c>
      <c r="O40" s="76">
        <v>29.160000000000004</v>
      </c>
      <c r="P40" s="77">
        <v>3207.6000000000004</v>
      </c>
      <c r="Q40" s="35"/>
      <c r="R40" s="32"/>
    </row>
    <row r="41" spans="1:18" hidden="1">
      <c r="A41" s="35"/>
      <c r="B41" s="55">
        <v>6.7</v>
      </c>
      <c r="C41" s="68" t="s">
        <v>85</v>
      </c>
      <c r="D41" s="45"/>
      <c r="E41" s="69" t="s">
        <v>63</v>
      </c>
      <c r="F41" s="69" t="s">
        <v>63</v>
      </c>
      <c r="G41" s="70">
        <v>0</v>
      </c>
      <c r="H41" s="71">
        <v>0</v>
      </c>
      <c r="I41" s="72">
        <v>0</v>
      </c>
      <c r="J41" s="35"/>
      <c r="K41" s="36"/>
      <c r="L41" s="53"/>
      <c r="M41" s="75" t="s">
        <v>86</v>
      </c>
      <c r="N41" s="75">
        <v>0</v>
      </c>
      <c r="O41" s="76">
        <v>145.80000000000001</v>
      </c>
      <c r="P41" s="77">
        <v>0</v>
      </c>
      <c r="Q41" s="35"/>
      <c r="R41" s="32"/>
    </row>
    <row r="42" spans="1:18" hidden="1">
      <c r="A42" s="35"/>
      <c r="B42" s="55">
        <v>6.8</v>
      </c>
      <c r="C42" s="68" t="s">
        <v>87</v>
      </c>
      <c r="D42" s="45"/>
      <c r="E42" s="69" t="s">
        <v>63</v>
      </c>
      <c r="F42" s="69" t="s">
        <v>63</v>
      </c>
      <c r="G42" s="70">
        <v>0</v>
      </c>
      <c r="H42" s="71">
        <v>0</v>
      </c>
      <c r="I42" s="72">
        <v>0</v>
      </c>
      <c r="J42" s="35"/>
      <c r="K42" s="36"/>
      <c r="L42" s="53"/>
      <c r="M42" s="75" t="s">
        <v>86</v>
      </c>
      <c r="N42" s="75">
        <v>0</v>
      </c>
      <c r="O42" s="76">
        <v>99.14400000000002</v>
      </c>
      <c r="P42" s="77">
        <v>0</v>
      </c>
      <c r="Q42" s="35"/>
      <c r="R42" s="32"/>
    </row>
    <row r="43" spans="1:18" hidden="1">
      <c r="A43" s="35"/>
      <c r="B43" s="55">
        <v>6.9</v>
      </c>
      <c r="C43" s="68" t="s">
        <v>88</v>
      </c>
      <c r="D43" s="45"/>
      <c r="E43" s="69" t="s">
        <v>63</v>
      </c>
      <c r="F43" s="69" t="s">
        <v>63</v>
      </c>
      <c r="G43" s="70">
        <v>0</v>
      </c>
      <c r="H43" s="71">
        <v>0</v>
      </c>
      <c r="I43" s="72">
        <v>0</v>
      </c>
      <c r="J43" s="35"/>
      <c r="K43" s="36"/>
      <c r="L43" s="53"/>
      <c r="M43" s="75" t="s">
        <v>86</v>
      </c>
      <c r="N43" s="75">
        <v>0</v>
      </c>
      <c r="O43" s="76">
        <v>145.80000000000001</v>
      </c>
      <c r="P43" s="77">
        <v>0</v>
      </c>
      <c r="Q43" s="35"/>
      <c r="R43" s="32"/>
    </row>
    <row r="44" spans="1:18" hidden="1">
      <c r="A44" s="35"/>
      <c r="B44" s="94">
        <v>6.1</v>
      </c>
      <c r="C44" s="68" t="s">
        <v>89</v>
      </c>
      <c r="D44" s="45"/>
      <c r="E44" s="69" t="s">
        <v>63</v>
      </c>
      <c r="F44" s="69" t="s">
        <v>63</v>
      </c>
      <c r="G44" s="70">
        <v>0</v>
      </c>
      <c r="H44" s="71">
        <v>0</v>
      </c>
      <c r="I44" s="72">
        <v>0</v>
      </c>
      <c r="J44" s="35"/>
      <c r="K44" s="36"/>
      <c r="L44" s="53"/>
      <c r="M44" s="75" t="s">
        <v>86</v>
      </c>
      <c r="N44" s="75">
        <v>0</v>
      </c>
      <c r="O44" s="76">
        <v>116.64000000000001</v>
      </c>
      <c r="P44" s="77">
        <v>0</v>
      </c>
      <c r="Q44" s="35"/>
      <c r="R44" s="32"/>
    </row>
    <row r="45" spans="1:18" hidden="1">
      <c r="A45" s="35"/>
      <c r="B45" s="94">
        <v>6.11</v>
      </c>
      <c r="C45" s="68" t="s">
        <v>90</v>
      </c>
      <c r="D45" s="45"/>
      <c r="E45" s="69" t="s">
        <v>63</v>
      </c>
      <c r="F45" s="69" t="s">
        <v>63</v>
      </c>
      <c r="G45" s="70">
        <v>0</v>
      </c>
      <c r="H45" s="71">
        <v>0</v>
      </c>
      <c r="I45" s="72">
        <v>0</v>
      </c>
      <c r="J45" s="35"/>
      <c r="K45" s="36"/>
      <c r="L45" s="53"/>
      <c r="M45" s="75" t="s">
        <v>52</v>
      </c>
      <c r="N45" s="75">
        <v>0</v>
      </c>
      <c r="O45" s="76">
        <v>4082.4000000000005</v>
      </c>
      <c r="P45" s="77">
        <v>0</v>
      </c>
      <c r="Q45" s="35"/>
      <c r="R45" s="32"/>
    </row>
    <row r="46" spans="1:18" hidden="1">
      <c r="A46" s="35"/>
      <c r="B46" s="94">
        <v>6.12</v>
      </c>
      <c r="C46" s="68" t="s">
        <v>91</v>
      </c>
      <c r="D46" s="45"/>
      <c r="E46" s="69" t="s">
        <v>63</v>
      </c>
      <c r="F46" s="69" t="s">
        <v>63</v>
      </c>
      <c r="G46" s="70">
        <v>0</v>
      </c>
      <c r="H46" s="71">
        <v>0</v>
      </c>
      <c r="I46" s="72">
        <v>0</v>
      </c>
      <c r="J46" s="35"/>
      <c r="K46" s="36"/>
      <c r="L46" s="53"/>
      <c r="M46" s="75" t="s">
        <v>86</v>
      </c>
      <c r="N46" s="75">
        <v>0</v>
      </c>
      <c r="O46" s="76">
        <v>145.80000000000001</v>
      </c>
      <c r="P46" s="77">
        <v>0</v>
      </c>
      <c r="Q46" s="35"/>
      <c r="R46" s="32"/>
    </row>
    <row r="47" spans="1:18" hidden="1">
      <c r="A47" s="35"/>
      <c r="B47" s="94">
        <v>6.13</v>
      </c>
      <c r="C47" s="68" t="s">
        <v>92</v>
      </c>
      <c r="D47" s="45"/>
      <c r="E47" s="69" t="s">
        <v>63</v>
      </c>
      <c r="F47" s="69" t="s">
        <v>63</v>
      </c>
      <c r="G47" s="70">
        <v>0</v>
      </c>
      <c r="H47" s="71">
        <v>0</v>
      </c>
      <c r="I47" s="72">
        <v>0</v>
      </c>
      <c r="J47" s="35"/>
      <c r="K47" s="36"/>
      <c r="L47" s="53"/>
      <c r="M47" s="75" t="s">
        <v>52</v>
      </c>
      <c r="N47" s="75">
        <v>0</v>
      </c>
      <c r="O47" s="76">
        <v>9914.4000000000015</v>
      </c>
      <c r="P47" s="77">
        <v>0</v>
      </c>
      <c r="Q47" s="35"/>
      <c r="R47" s="32"/>
    </row>
    <row r="48" spans="1:18" hidden="1">
      <c r="A48" s="35"/>
      <c r="B48" s="94">
        <v>6.14</v>
      </c>
      <c r="C48" s="68" t="s">
        <v>93</v>
      </c>
      <c r="D48" s="45"/>
      <c r="E48" s="69" t="s">
        <v>63</v>
      </c>
      <c r="F48" s="69" t="s">
        <v>63</v>
      </c>
      <c r="G48" s="70">
        <v>0</v>
      </c>
      <c r="H48" s="71">
        <v>0</v>
      </c>
      <c r="I48" s="72">
        <v>0</v>
      </c>
      <c r="J48" s="35"/>
      <c r="K48" s="36"/>
      <c r="L48" s="53"/>
      <c r="M48" s="75" t="s">
        <v>81</v>
      </c>
      <c r="N48" s="75">
        <v>0</v>
      </c>
      <c r="O48" s="76">
        <v>4665.6000000000004</v>
      </c>
      <c r="P48" s="77">
        <v>0</v>
      </c>
      <c r="Q48" s="35"/>
      <c r="R48" s="32"/>
    </row>
    <row r="49" spans="1:25" ht="17" thickBot="1">
      <c r="A49" s="35"/>
      <c r="B49" s="55"/>
      <c r="C49" s="68"/>
      <c r="D49" s="45"/>
      <c r="E49" s="69"/>
      <c r="F49" s="69"/>
      <c r="G49" s="70"/>
      <c r="H49" s="71"/>
      <c r="I49" s="71"/>
      <c r="J49" s="35"/>
      <c r="K49" s="36"/>
      <c r="L49" s="53"/>
      <c r="M49" s="79"/>
      <c r="N49" s="75"/>
      <c r="O49" s="80"/>
      <c r="P49" s="95"/>
      <c r="Q49" s="35"/>
      <c r="R49" s="32"/>
      <c r="V49" s="87"/>
    </row>
    <row r="50" spans="1:25" s="84" customFormat="1" ht="15.75" customHeight="1" thickBot="1">
      <c r="A50" s="35"/>
      <c r="B50" s="55"/>
      <c r="C50" s="93"/>
      <c r="D50" s="45"/>
      <c r="E50" s="82"/>
      <c r="F50" s="615" t="s">
        <v>23</v>
      </c>
      <c r="G50" s="616"/>
      <c r="H50" s="617">
        <v>3207.6000000000004</v>
      </c>
      <c r="I50" s="618"/>
      <c r="J50" s="35"/>
      <c r="K50" s="36"/>
      <c r="L50" s="37"/>
      <c r="M50" s="619" t="s">
        <v>23</v>
      </c>
      <c r="N50" s="620"/>
      <c r="O50" s="621">
        <v>3207.6000000000004</v>
      </c>
      <c r="P50" s="622"/>
      <c r="Q50" s="35"/>
      <c r="R50" s="83"/>
    </row>
    <row r="51" spans="1:25" ht="17" hidden="1" thickBot="1">
      <c r="A51" s="35"/>
      <c r="B51" s="55">
        <v>7</v>
      </c>
      <c r="C51" s="86" t="s">
        <v>94</v>
      </c>
      <c r="D51" s="45"/>
      <c r="E51" s="63"/>
      <c r="F51" s="63"/>
      <c r="G51" s="63"/>
      <c r="H51" s="63"/>
      <c r="I51" s="64"/>
      <c r="J51" s="53"/>
      <c r="K51" s="40"/>
      <c r="L51" s="37"/>
      <c r="M51" s="65"/>
      <c r="N51" s="66"/>
      <c r="O51" s="66"/>
      <c r="P51" s="67"/>
      <c r="Q51" s="35"/>
      <c r="R51" s="32"/>
    </row>
    <row r="52" spans="1:25" ht="17" hidden="1" thickBot="1">
      <c r="A52" s="35"/>
      <c r="B52" s="55">
        <v>7.1</v>
      </c>
      <c r="C52" s="68" t="s">
        <v>94</v>
      </c>
      <c r="D52" s="45"/>
      <c r="E52" s="69" t="s">
        <v>63</v>
      </c>
      <c r="F52" s="69" t="s">
        <v>63</v>
      </c>
      <c r="G52" s="70">
        <v>0</v>
      </c>
      <c r="H52" s="71">
        <v>0</v>
      </c>
      <c r="I52" s="72">
        <v>0</v>
      </c>
      <c r="J52" s="35"/>
      <c r="K52" s="36"/>
      <c r="L52" s="53"/>
      <c r="M52" s="75" t="s">
        <v>86</v>
      </c>
      <c r="N52" s="75">
        <v>1</v>
      </c>
      <c r="O52" s="80">
        <v>1399680</v>
      </c>
      <c r="P52" s="76">
        <v>1399680</v>
      </c>
      <c r="Q52" s="35"/>
      <c r="R52" s="32"/>
      <c r="V52" s="87"/>
    </row>
    <row r="53" spans="1:25" ht="17" hidden="1" thickBot="1">
      <c r="A53" s="35"/>
      <c r="B53" s="55">
        <v>7.2</v>
      </c>
      <c r="C53" s="68" t="s">
        <v>95</v>
      </c>
      <c r="D53" s="45"/>
      <c r="E53" s="69" t="s">
        <v>63</v>
      </c>
      <c r="F53" s="69" t="s">
        <v>63</v>
      </c>
      <c r="G53" s="70">
        <v>0</v>
      </c>
      <c r="H53" s="71">
        <v>0</v>
      </c>
      <c r="I53" s="72">
        <v>0</v>
      </c>
      <c r="J53" s="35"/>
      <c r="K53" s="36"/>
      <c r="L53" s="53"/>
      <c r="M53" s="75" t="s">
        <v>86</v>
      </c>
      <c r="N53" s="75">
        <v>96</v>
      </c>
      <c r="O53" s="80">
        <v>99.14400000000002</v>
      </c>
      <c r="P53" s="76">
        <v>9517.8240000000023</v>
      </c>
      <c r="Q53" s="35"/>
      <c r="R53" s="32"/>
      <c r="V53" s="87"/>
    </row>
    <row r="54" spans="1:25" ht="17" hidden="1" thickBot="1">
      <c r="A54" s="35"/>
      <c r="B54" s="55">
        <v>7.3</v>
      </c>
      <c r="C54" s="68" t="s">
        <v>96</v>
      </c>
      <c r="D54" s="45"/>
      <c r="E54" s="69" t="s">
        <v>63</v>
      </c>
      <c r="F54" s="69" t="s">
        <v>63</v>
      </c>
      <c r="G54" s="70">
        <v>0</v>
      </c>
      <c r="H54" s="71">
        <v>0</v>
      </c>
      <c r="I54" s="72">
        <v>0</v>
      </c>
      <c r="J54" s="35"/>
      <c r="K54" s="36"/>
      <c r="L54" s="53"/>
      <c r="M54" s="75" t="s">
        <v>86</v>
      </c>
      <c r="N54" s="75">
        <v>132</v>
      </c>
      <c r="O54" s="80">
        <v>0</v>
      </c>
      <c r="P54" s="76">
        <v>0</v>
      </c>
      <c r="Q54" s="35"/>
      <c r="R54" s="32"/>
      <c r="V54" s="87"/>
    </row>
    <row r="55" spans="1:25" ht="17" hidden="1" thickBot="1">
      <c r="A55" s="35"/>
      <c r="B55" s="55">
        <v>7.4</v>
      </c>
      <c r="C55" s="68" t="s">
        <v>97</v>
      </c>
      <c r="D55" s="45"/>
      <c r="E55" s="69" t="s">
        <v>63</v>
      </c>
      <c r="F55" s="69" t="s">
        <v>63</v>
      </c>
      <c r="G55" s="70">
        <v>0</v>
      </c>
      <c r="H55" s="71">
        <v>0</v>
      </c>
      <c r="I55" s="72">
        <v>0</v>
      </c>
      <c r="J55" s="35"/>
      <c r="K55" s="36"/>
      <c r="L55" s="53"/>
      <c r="M55" s="75" t="s">
        <v>84</v>
      </c>
      <c r="N55" s="75">
        <v>700</v>
      </c>
      <c r="O55" s="80">
        <v>0</v>
      </c>
      <c r="P55" s="76">
        <v>0</v>
      </c>
      <c r="Q55" s="35"/>
      <c r="R55" s="32"/>
      <c r="V55" s="87"/>
    </row>
    <row r="56" spans="1:25" ht="17" hidden="1" thickBot="1">
      <c r="A56" s="35"/>
      <c r="B56" s="55">
        <v>7.5</v>
      </c>
      <c r="C56" s="68" t="s">
        <v>98</v>
      </c>
      <c r="D56" s="45"/>
      <c r="E56" s="69" t="s">
        <v>63</v>
      </c>
      <c r="F56" s="69" t="s">
        <v>63</v>
      </c>
      <c r="G56" s="70">
        <v>0</v>
      </c>
      <c r="H56" s="71">
        <v>0</v>
      </c>
      <c r="I56" s="72">
        <v>0</v>
      </c>
      <c r="J56" s="35"/>
      <c r="K56" s="36"/>
      <c r="L56" s="53"/>
      <c r="M56" s="75" t="s">
        <v>99</v>
      </c>
      <c r="N56" s="75">
        <v>0</v>
      </c>
      <c r="O56" s="80">
        <v>10497.6</v>
      </c>
      <c r="P56" s="76">
        <v>0</v>
      </c>
      <c r="Q56" s="35"/>
      <c r="R56" s="32"/>
      <c r="V56" s="87"/>
    </row>
    <row r="57" spans="1:25" ht="17" hidden="1" thickBot="1">
      <c r="A57" s="35"/>
      <c r="B57" s="55">
        <v>7.6</v>
      </c>
      <c r="C57" s="68" t="s">
        <v>100</v>
      </c>
      <c r="D57" s="45"/>
      <c r="E57" s="69" t="s">
        <v>63</v>
      </c>
      <c r="F57" s="69" t="s">
        <v>63</v>
      </c>
      <c r="G57" s="70">
        <v>0</v>
      </c>
      <c r="H57" s="71">
        <v>0</v>
      </c>
      <c r="I57" s="72">
        <v>0</v>
      </c>
      <c r="J57" s="35"/>
      <c r="K57" s="36"/>
      <c r="L57" s="53"/>
      <c r="M57" s="75" t="s">
        <v>52</v>
      </c>
      <c r="N57" s="75">
        <v>1</v>
      </c>
      <c r="O57" s="80">
        <v>9914.4000000000015</v>
      </c>
      <c r="P57" s="76">
        <v>9914.4000000000015</v>
      </c>
      <c r="Q57" s="35"/>
      <c r="R57" s="32"/>
      <c r="V57" s="87"/>
      <c r="W57" s="96"/>
      <c r="Y57" s="97"/>
    </row>
    <row r="58" spans="1:25" ht="17" hidden="1" thickBot="1">
      <c r="A58" s="35"/>
      <c r="B58" s="55">
        <v>7.7</v>
      </c>
      <c r="C58" s="68" t="s">
        <v>101</v>
      </c>
      <c r="D58" s="45"/>
      <c r="E58" s="69" t="s">
        <v>63</v>
      </c>
      <c r="F58" s="69" t="s">
        <v>63</v>
      </c>
      <c r="G58" s="70">
        <v>0</v>
      </c>
      <c r="H58" s="71">
        <v>0</v>
      </c>
      <c r="I58" s="72">
        <v>0</v>
      </c>
      <c r="J58" s="35"/>
      <c r="K58" s="36"/>
      <c r="L58" s="53"/>
      <c r="M58" s="75" t="s">
        <v>86</v>
      </c>
      <c r="N58" s="75">
        <v>160</v>
      </c>
      <c r="O58" s="80">
        <v>204.12</v>
      </c>
      <c r="P58" s="76">
        <v>32659.200000000001</v>
      </c>
      <c r="Q58" s="35"/>
      <c r="R58" s="32"/>
      <c r="V58" s="87"/>
    </row>
    <row r="59" spans="1:25" ht="17" hidden="1" thickBot="1">
      <c r="A59" s="35"/>
      <c r="B59" s="55">
        <v>7.8</v>
      </c>
      <c r="C59" s="68" t="s">
        <v>102</v>
      </c>
      <c r="D59" s="45"/>
      <c r="E59" s="69" t="s">
        <v>63</v>
      </c>
      <c r="F59" s="69" t="s">
        <v>63</v>
      </c>
      <c r="G59" s="70">
        <v>0</v>
      </c>
      <c r="H59" s="71">
        <v>0</v>
      </c>
      <c r="I59" s="72">
        <v>0</v>
      </c>
      <c r="J59" s="35"/>
      <c r="K59" s="36"/>
      <c r="L59" s="53"/>
      <c r="M59" s="75" t="s">
        <v>86</v>
      </c>
      <c r="N59" s="75">
        <v>40</v>
      </c>
      <c r="O59" s="80">
        <v>227.44800000000004</v>
      </c>
      <c r="P59" s="76">
        <v>9097.9200000000019</v>
      </c>
      <c r="Q59" s="35"/>
      <c r="R59" s="32"/>
      <c r="V59" s="87"/>
    </row>
    <row r="60" spans="1:25" ht="17" hidden="1" thickBot="1">
      <c r="A60" s="35"/>
      <c r="B60" s="55">
        <v>7.9</v>
      </c>
      <c r="C60" s="68" t="s">
        <v>103</v>
      </c>
      <c r="D60" s="45"/>
      <c r="E60" s="69" t="s">
        <v>63</v>
      </c>
      <c r="F60" s="69" t="s">
        <v>63</v>
      </c>
      <c r="G60" s="70">
        <v>0</v>
      </c>
      <c r="H60" s="71">
        <v>0</v>
      </c>
      <c r="I60" s="72">
        <v>0</v>
      </c>
      <c r="J60" s="35"/>
      <c r="K60" s="36"/>
      <c r="L60" s="53"/>
      <c r="M60" s="75" t="s">
        <v>52</v>
      </c>
      <c r="N60" s="75">
        <v>0</v>
      </c>
      <c r="O60" s="80">
        <v>355.75200000000007</v>
      </c>
      <c r="P60" s="76">
        <v>0</v>
      </c>
      <c r="Q60" s="35"/>
      <c r="R60" s="32"/>
      <c r="V60" s="87"/>
    </row>
    <row r="61" spans="1:25" ht="17" hidden="1" thickBot="1">
      <c r="A61" s="35"/>
      <c r="B61" s="94">
        <v>7.1</v>
      </c>
      <c r="C61" s="68" t="s">
        <v>104</v>
      </c>
      <c r="D61" s="45"/>
      <c r="E61" s="69" t="s">
        <v>63</v>
      </c>
      <c r="F61" s="69" t="s">
        <v>63</v>
      </c>
      <c r="G61" s="70">
        <v>0</v>
      </c>
      <c r="H61" s="71">
        <v>0</v>
      </c>
      <c r="I61" s="72">
        <v>0</v>
      </c>
      <c r="J61" s="35"/>
      <c r="K61" s="36"/>
      <c r="L61" s="53"/>
      <c r="M61" s="75" t="s">
        <v>52</v>
      </c>
      <c r="N61" s="75">
        <v>1</v>
      </c>
      <c r="O61" s="80">
        <v>4082.4000000000005</v>
      </c>
      <c r="P61" s="76">
        <v>4082.4000000000005</v>
      </c>
      <c r="Q61" s="35"/>
      <c r="R61" s="32"/>
      <c r="V61" s="87"/>
    </row>
    <row r="62" spans="1:25" ht="17" hidden="1" thickBot="1">
      <c r="A62" s="35"/>
      <c r="B62" s="94">
        <v>7.11</v>
      </c>
      <c r="C62" s="68" t="s">
        <v>105</v>
      </c>
      <c r="D62" s="45"/>
      <c r="E62" s="69" t="s">
        <v>63</v>
      </c>
      <c r="F62" s="69" t="s">
        <v>63</v>
      </c>
      <c r="G62" s="70">
        <v>0</v>
      </c>
      <c r="H62" s="71">
        <v>0</v>
      </c>
      <c r="I62" s="72">
        <v>0</v>
      </c>
      <c r="J62" s="35"/>
      <c r="K62" s="36"/>
      <c r="L62" s="53"/>
      <c r="M62" s="75" t="s">
        <v>86</v>
      </c>
      <c r="N62" s="75">
        <v>680</v>
      </c>
      <c r="O62" s="80">
        <v>151.63200000000001</v>
      </c>
      <c r="P62" s="76">
        <v>103109.76000000001</v>
      </c>
      <c r="Q62" s="35"/>
      <c r="R62" s="32"/>
      <c r="V62" s="87"/>
    </row>
    <row r="63" spans="1:25" ht="17" hidden="1" thickBot="1">
      <c r="A63" s="35"/>
      <c r="B63" s="94">
        <v>7.12</v>
      </c>
      <c r="C63" s="68" t="s">
        <v>106</v>
      </c>
      <c r="D63" s="45"/>
      <c r="E63" s="69" t="s">
        <v>63</v>
      </c>
      <c r="F63" s="69" t="s">
        <v>63</v>
      </c>
      <c r="G63" s="70">
        <v>0</v>
      </c>
      <c r="H63" s="71">
        <v>0</v>
      </c>
      <c r="I63" s="72">
        <v>0</v>
      </c>
      <c r="J63" s="35"/>
      <c r="K63" s="36"/>
      <c r="L63" s="53"/>
      <c r="M63" s="75" t="s">
        <v>86</v>
      </c>
      <c r="N63" s="75">
        <v>390</v>
      </c>
      <c r="O63" s="80">
        <v>110.80800000000002</v>
      </c>
      <c r="P63" s="76">
        <v>43215.12000000001</v>
      </c>
      <c r="Q63" s="35"/>
      <c r="R63" s="32"/>
      <c r="V63" s="87"/>
    </row>
    <row r="64" spans="1:25" ht="17" hidden="1" thickBot="1">
      <c r="A64" s="35"/>
      <c r="B64" s="94">
        <v>7.13</v>
      </c>
      <c r="C64" s="68" t="s">
        <v>107</v>
      </c>
      <c r="D64" s="45"/>
      <c r="E64" s="69" t="s">
        <v>63</v>
      </c>
      <c r="F64" s="69" t="s">
        <v>63</v>
      </c>
      <c r="G64" s="70">
        <v>0</v>
      </c>
      <c r="H64" s="71">
        <v>0</v>
      </c>
      <c r="I64" s="72">
        <v>0</v>
      </c>
      <c r="J64" s="35"/>
      <c r="K64" s="36"/>
      <c r="L64" s="53"/>
      <c r="M64" s="75" t="s">
        <v>86</v>
      </c>
      <c r="N64" s="75">
        <v>0</v>
      </c>
      <c r="O64" s="80">
        <v>75.816000000000003</v>
      </c>
      <c r="P64" s="76">
        <v>0</v>
      </c>
      <c r="Q64" s="35"/>
      <c r="R64" s="32"/>
      <c r="V64" s="87"/>
    </row>
    <row r="65" spans="1:22" ht="17" hidden="1" thickBot="1">
      <c r="A65" s="35"/>
      <c r="B65" s="94">
        <v>7.14</v>
      </c>
      <c r="C65" s="68" t="s">
        <v>108</v>
      </c>
      <c r="D65" s="45"/>
      <c r="E65" s="69" t="s">
        <v>63</v>
      </c>
      <c r="F65" s="69" t="s">
        <v>63</v>
      </c>
      <c r="G65" s="70">
        <v>0</v>
      </c>
      <c r="H65" s="71">
        <v>0</v>
      </c>
      <c r="I65" s="72">
        <v>0</v>
      </c>
      <c r="J65" s="35"/>
      <c r="K65" s="36"/>
      <c r="L65" s="53"/>
      <c r="M65" s="75" t="s">
        <v>86</v>
      </c>
      <c r="N65" s="75">
        <v>1368</v>
      </c>
      <c r="O65" s="80">
        <v>0</v>
      </c>
      <c r="P65" s="76">
        <v>0</v>
      </c>
      <c r="Q65" s="35"/>
      <c r="R65" s="32"/>
      <c r="V65" s="87"/>
    </row>
    <row r="66" spans="1:22" ht="17" hidden="1" thickBot="1">
      <c r="A66" s="35"/>
      <c r="B66" s="94">
        <v>7.15</v>
      </c>
      <c r="C66" s="68" t="s">
        <v>109</v>
      </c>
      <c r="D66" s="45"/>
      <c r="E66" s="69" t="s">
        <v>63</v>
      </c>
      <c r="F66" s="69" t="s">
        <v>63</v>
      </c>
      <c r="G66" s="70">
        <v>0</v>
      </c>
      <c r="H66" s="71">
        <v>0</v>
      </c>
      <c r="I66" s="72">
        <v>0</v>
      </c>
      <c r="J66" s="35"/>
      <c r="K66" s="36"/>
      <c r="L66" s="53"/>
      <c r="M66" s="75" t="s">
        <v>86</v>
      </c>
      <c r="N66" s="75">
        <v>0</v>
      </c>
      <c r="O66" s="80">
        <v>99.14400000000002</v>
      </c>
      <c r="P66" s="76">
        <v>0</v>
      </c>
      <c r="Q66" s="35"/>
      <c r="R66" s="32"/>
      <c r="V66" s="87"/>
    </row>
    <row r="67" spans="1:22" ht="17" hidden="1" thickBot="1">
      <c r="A67" s="35"/>
      <c r="B67" s="94">
        <v>7.16</v>
      </c>
      <c r="C67" s="68" t="s">
        <v>110</v>
      </c>
      <c r="D67" s="45"/>
      <c r="E67" s="69" t="s">
        <v>63</v>
      </c>
      <c r="F67" s="69" t="s">
        <v>63</v>
      </c>
      <c r="G67" s="70">
        <v>0</v>
      </c>
      <c r="H67" s="71">
        <v>0</v>
      </c>
      <c r="I67" s="72">
        <v>0</v>
      </c>
      <c r="J67" s="35"/>
      <c r="K67" s="36"/>
      <c r="L67" s="53"/>
      <c r="M67" s="75" t="s">
        <v>86</v>
      </c>
      <c r="N67" s="75">
        <v>0</v>
      </c>
      <c r="O67" s="80">
        <v>17.496000000000006</v>
      </c>
      <c r="P67" s="76">
        <v>0</v>
      </c>
      <c r="Q67" s="35"/>
      <c r="R67" s="32"/>
      <c r="V67" s="87"/>
    </row>
    <row r="68" spans="1:22" ht="17" hidden="1" thickBot="1">
      <c r="A68" s="35"/>
      <c r="B68" s="94">
        <v>7.17</v>
      </c>
      <c r="C68" s="68" t="s">
        <v>111</v>
      </c>
      <c r="D68" s="45"/>
      <c r="E68" s="69" t="s">
        <v>63</v>
      </c>
      <c r="F68" s="69" t="s">
        <v>63</v>
      </c>
      <c r="G68" s="70">
        <v>0</v>
      </c>
      <c r="H68" s="71">
        <v>0</v>
      </c>
      <c r="I68" s="72">
        <v>0</v>
      </c>
      <c r="J68" s="35"/>
      <c r="K68" s="36"/>
      <c r="L68" s="53"/>
      <c r="M68" s="75" t="s">
        <v>86</v>
      </c>
      <c r="N68" s="75">
        <v>0</v>
      </c>
      <c r="O68" s="80">
        <v>75.816000000000003</v>
      </c>
      <c r="P68" s="76">
        <v>0</v>
      </c>
      <c r="Q68" s="35"/>
      <c r="R68" s="32"/>
      <c r="V68" s="87"/>
    </row>
    <row r="69" spans="1:22" ht="17" hidden="1" thickBot="1">
      <c r="A69" s="35"/>
      <c r="B69" s="94">
        <v>7.18</v>
      </c>
      <c r="C69" s="68" t="s">
        <v>112</v>
      </c>
      <c r="D69" s="45"/>
      <c r="E69" s="69" t="s">
        <v>63</v>
      </c>
      <c r="F69" s="69" t="s">
        <v>63</v>
      </c>
      <c r="G69" s="70">
        <v>0</v>
      </c>
      <c r="H69" s="71">
        <v>0</v>
      </c>
      <c r="I69" s="72">
        <v>0</v>
      </c>
      <c r="J69" s="35"/>
      <c r="K69" s="36"/>
      <c r="L69" s="53"/>
      <c r="M69" s="75" t="s">
        <v>86</v>
      </c>
      <c r="N69" s="75">
        <v>0</v>
      </c>
      <c r="O69" s="80">
        <v>75.816000000000003</v>
      </c>
      <c r="P69" s="76">
        <v>0</v>
      </c>
      <c r="Q69" s="35"/>
      <c r="R69" s="32"/>
      <c r="V69" s="87"/>
    </row>
    <row r="70" spans="1:22" ht="17" hidden="1" thickBot="1">
      <c r="A70" s="35"/>
      <c r="B70" s="94">
        <v>7.19</v>
      </c>
      <c r="C70" s="68" t="s">
        <v>113</v>
      </c>
      <c r="D70" s="45"/>
      <c r="E70" s="69" t="s">
        <v>63</v>
      </c>
      <c r="F70" s="69" t="s">
        <v>63</v>
      </c>
      <c r="G70" s="70">
        <v>0</v>
      </c>
      <c r="H70" s="71">
        <v>0</v>
      </c>
      <c r="I70" s="72">
        <v>0</v>
      </c>
      <c r="J70" s="35"/>
      <c r="K70" s="36"/>
      <c r="L70" s="53"/>
      <c r="M70" s="75" t="s">
        <v>86</v>
      </c>
      <c r="N70" s="75">
        <v>0</v>
      </c>
      <c r="O70" s="80">
        <v>157.46400000000003</v>
      </c>
      <c r="P70" s="76">
        <v>0</v>
      </c>
      <c r="Q70" s="35"/>
      <c r="R70" s="32"/>
      <c r="V70" s="87"/>
    </row>
    <row r="71" spans="1:22" ht="17" hidden="1" thickBot="1">
      <c r="A71" s="35"/>
      <c r="B71" s="55"/>
      <c r="C71" s="68"/>
      <c r="D71" s="45"/>
      <c r="E71" s="69"/>
      <c r="F71" s="69" t="s">
        <v>63</v>
      </c>
      <c r="G71" s="70"/>
      <c r="H71" s="71"/>
      <c r="I71" s="72"/>
      <c r="J71" s="35"/>
      <c r="K71" s="36"/>
      <c r="L71" s="53"/>
      <c r="M71" s="79"/>
      <c r="N71" s="75"/>
      <c r="O71" s="80"/>
      <c r="P71" s="76"/>
      <c r="Q71" s="35"/>
      <c r="R71" s="32"/>
      <c r="V71" s="87"/>
    </row>
    <row r="72" spans="1:22" s="84" customFormat="1" ht="15.75" hidden="1" customHeight="1" thickBot="1">
      <c r="A72" s="35"/>
      <c r="B72" s="55"/>
      <c r="C72" s="81"/>
      <c r="D72" s="45"/>
      <c r="E72" s="82"/>
      <c r="F72" s="615" t="s">
        <v>23</v>
      </c>
      <c r="G72" s="616"/>
      <c r="H72" s="617">
        <v>0</v>
      </c>
      <c r="I72" s="618"/>
      <c r="J72" s="35"/>
      <c r="K72" s="36"/>
      <c r="L72" s="37"/>
      <c r="M72" s="619" t="s">
        <v>23</v>
      </c>
      <c r="N72" s="620"/>
      <c r="O72" s="621">
        <v>1611276.6239999998</v>
      </c>
      <c r="P72" s="622"/>
      <c r="Q72" s="35"/>
      <c r="R72" s="83"/>
    </row>
    <row r="73" spans="1:22" ht="18" hidden="1" thickBot="1">
      <c r="A73" s="35"/>
      <c r="B73" s="98" t="s">
        <v>114</v>
      </c>
      <c r="C73" s="86" t="s">
        <v>115</v>
      </c>
      <c r="D73" s="45"/>
      <c r="E73" s="63"/>
      <c r="F73" s="63"/>
      <c r="G73" s="63"/>
      <c r="H73" s="63"/>
      <c r="I73" s="64"/>
      <c r="J73" s="53"/>
      <c r="K73" s="40"/>
      <c r="L73" s="37"/>
      <c r="M73" s="65"/>
      <c r="N73" s="66"/>
      <c r="O73" s="66"/>
      <c r="P73" s="67"/>
      <c r="Q73" s="35"/>
      <c r="R73" s="32"/>
    </row>
    <row r="74" spans="1:22" ht="17" hidden="1" thickBot="1">
      <c r="A74" s="35"/>
      <c r="B74" s="94">
        <v>7.2</v>
      </c>
      <c r="C74" s="68" t="s">
        <v>116</v>
      </c>
      <c r="D74" s="45"/>
      <c r="E74" s="69" t="s">
        <v>63</v>
      </c>
      <c r="F74" s="69" t="s">
        <v>63</v>
      </c>
      <c r="G74" s="70">
        <v>0</v>
      </c>
      <c r="H74" s="71">
        <v>0</v>
      </c>
      <c r="I74" s="72">
        <v>0</v>
      </c>
      <c r="J74" s="35"/>
      <c r="K74" s="36"/>
      <c r="L74" s="53"/>
      <c r="M74" s="99" t="s">
        <v>52</v>
      </c>
      <c r="N74" s="75">
        <v>0</v>
      </c>
      <c r="O74" s="95">
        <v>14580.000000000002</v>
      </c>
      <c r="P74" s="77">
        <v>0</v>
      </c>
      <c r="Q74" s="35"/>
      <c r="R74" s="32"/>
      <c r="V74" s="87"/>
    </row>
    <row r="75" spans="1:22" ht="17" hidden="1" thickBot="1">
      <c r="A75" s="35"/>
      <c r="B75" s="94">
        <v>7.21</v>
      </c>
      <c r="C75" s="68" t="s">
        <v>117</v>
      </c>
      <c r="D75" s="45"/>
      <c r="E75" s="69" t="s">
        <v>63</v>
      </c>
      <c r="F75" s="69" t="s">
        <v>63</v>
      </c>
      <c r="G75" s="70">
        <v>0</v>
      </c>
      <c r="H75" s="71">
        <v>0</v>
      </c>
      <c r="I75" s="72">
        <v>0</v>
      </c>
      <c r="J75" s="35"/>
      <c r="K75" s="36"/>
      <c r="L75" s="53"/>
      <c r="M75" s="99" t="s">
        <v>86</v>
      </c>
      <c r="N75" s="75">
        <v>0</v>
      </c>
      <c r="O75" s="95">
        <v>408.24</v>
      </c>
      <c r="P75" s="77">
        <v>0</v>
      </c>
      <c r="Q75" s="35"/>
      <c r="R75" s="32"/>
      <c r="V75" s="87"/>
    </row>
    <row r="76" spans="1:22" ht="17" hidden="1" thickBot="1">
      <c r="A76" s="35"/>
      <c r="B76" s="94">
        <v>7.22</v>
      </c>
      <c r="C76" s="68" t="s">
        <v>118</v>
      </c>
      <c r="D76" s="45"/>
      <c r="E76" s="69" t="s">
        <v>63</v>
      </c>
      <c r="F76" s="69" t="s">
        <v>63</v>
      </c>
      <c r="G76" s="70">
        <v>0</v>
      </c>
      <c r="H76" s="71">
        <v>0</v>
      </c>
      <c r="I76" s="72">
        <v>0</v>
      </c>
      <c r="J76" s="35"/>
      <c r="K76" s="36"/>
      <c r="L76" s="53"/>
      <c r="M76" s="99" t="s">
        <v>86</v>
      </c>
      <c r="N76" s="75">
        <v>895</v>
      </c>
      <c r="O76" s="95">
        <v>122.47200000000001</v>
      </c>
      <c r="P76" s="77">
        <v>109612.44</v>
      </c>
      <c r="Q76" s="35"/>
      <c r="R76" s="32"/>
      <c r="V76" s="87"/>
    </row>
    <row r="77" spans="1:22" ht="17" hidden="1" thickBot="1">
      <c r="A77" s="35"/>
      <c r="B77" s="94">
        <v>7.23</v>
      </c>
      <c r="C77" s="68" t="s">
        <v>119</v>
      </c>
      <c r="D77" s="45"/>
      <c r="E77" s="69" t="s">
        <v>63</v>
      </c>
      <c r="F77" s="69" t="s">
        <v>63</v>
      </c>
      <c r="G77" s="70">
        <v>0</v>
      </c>
      <c r="H77" s="71">
        <v>0</v>
      </c>
      <c r="I77" s="72">
        <v>0</v>
      </c>
      <c r="J77" s="35"/>
      <c r="K77" s="36"/>
      <c r="L77" s="53"/>
      <c r="M77" s="99" t="s">
        <v>86</v>
      </c>
      <c r="N77" s="75">
        <v>1</v>
      </c>
      <c r="O77" s="95">
        <v>641520</v>
      </c>
      <c r="P77" s="77">
        <v>641520</v>
      </c>
      <c r="Q77" s="35"/>
      <c r="R77" s="32"/>
      <c r="V77" s="87"/>
    </row>
    <row r="78" spans="1:22" ht="17" hidden="1" thickBot="1">
      <c r="A78" s="35"/>
      <c r="B78" s="94">
        <v>7.24</v>
      </c>
      <c r="C78" s="68" t="s">
        <v>120</v>
      </c>
      <c r="D78" s="45"/>
      <c r="E78" s="69" t="s">
        <v>63</v>
      </c>
      <c r="F78" s="69" t="s">
        <v>63</v>
      </c>
      <c r="G78" s="70">
        <v>0</v>
      </c>
      <c r="H78" s="71">
        <v>0</v>
      </c>
      <c r="I78" s="72">
        <v>0</v>
      </c>
      <c r="J78" s="35"/>
      <c r="K78" s="36"/>
      <c r="L78" s="53"/>
      <c r="M78" s="99" t="s">
        <v>86</v>
      </c>
      <c r="N78" s="75">
        <v>0</v>
      </c>
      <c r="O78" s="95">
        <v>2507.7600000000002</v>
      </c>
      <c r="P78" s="77">
        <v>0</v>
      </c>
      <c r="Q78" s="35"/>
      <c r="R78" s="32"/>
      <c r="V78" s="87"/>
    </row>
    <row r="79" spans="1:22" ht="17" hidden="1" thickBot="1">
      <c r="A79" s="35"/>
      <c r="B79" s="55"/>
      <c r="C79" s="68"/>
      <c r="D79" s="45"/>
      <c r="E79" s="69"/>
      <c r="F79" s="70"/>
      <c r="G79" s="70"/>
      <c r="H79" s="71"/>
      <c r="I79" s="72"/>
      <c r="J79" s="35"/>
      <c r="K79" s="36"/>
      <c r="L79" s="53"/>
      <c r="M79" s="79"/>
      <c r="N79" s="75"/>
      <c r="O79" s="76"/>
      <c r="P79" s="77"/>
      <c r="Q79" s="35"/>
      <c r="R79" s="32"/>
    </row>
    <row r="80" spans="1:22" s="84" customFormat="1" ht="15.75" hidden="1" customHeight="1">
      <c r="A80" s="35"/>
      <c r="B80" s="55"/>
      <c r="C80" s="81"/>
      <c r="D80" s="45"/>
      <c r="E80" s="82"/>
      <c r="F80" s="615" t="s">
        <v>23</v>
      </c>
      <c r="G80" s="616"/>
      <c r="H80" s="617">
        <v>0</v>
      </c>
      <c r="I80" s="618"/>
      <c r="J80" s="35"/>
      <c r="K80" s="36"/>
      <c r="L80" s="37"/>
      <c r="M80" s="619" t="s">
        <v>23</v>
      </c>
      <c r="N80" s="620"/>
      <c r="O80" s="621">
        <v>751132.44</v>
      </c>
      <c r="P80" s="622"/>
      <c r="Q80" s="35"/>
      <c r="R80" s="83"/>
    </row>
    <row r="81" spans="1:24" ht="17" thickBot="1">
      <c r="A81" s="35"/>
      <c r="B81" s="55">
        <v>8</v>
      </c>
      <c r="C81" s="86" t="s">
        <v>121</v>
      </c>
      <c r="D81" s="45"/>
      <c r="E81" s="63"/>
      <c r="F81" s="63"/>
      <c r="G81" s="63"/>
      <c r="H81" s="63"/>
      <c r="I81" s="64"/>
      <c r="J81" s="53"/>
      <c r="K81" s="40"/>
      <c r="L81" s="37"/>
      <c r="M81" s="65"/>
      <c r="N81" s="66"/>
      <c r="O81" s="66"/>
      <c r="P81" s="67"/>
      <c r="Q81" s="35"/>
      <c r="R81" s="32"/>
    </row>
    <row r="82" spans="1:24" ht="17">
      <c r="A82" s="35"/>
      <c r="B82" s="55">
        <v>8.1</v>
      </c>
      <c r="C82" s="100" t="s">
        <v>122</v>
      </c>
      <c r="D82" s="45"/>
      <c r="E82" s="69" t="s">
        <v>61</v>
      </c>
      <c r="F82" s="69" t="s">
        <v>52</v>
      </c>
      <c r="G82" s="70">
        <v>1</v>
      </c>
      <c r="H82" s="71">
        <v>4082.4000000000005</v>
      </c>
      <c r="I82" s="72">
        <v>4082.4000000000005</v>
      </c>
      <c r="J82" s="35"/>
      <c r="K82" s="36"/>
      <c r="L82" s="53"/>
      <c r="M82" s="75" t="s">
        <v>52</v>
      </c>
      <c r="N82" s="75">
        <v>1</v>
      </c>
      <c r="O82" s="95">
        <v>4082.4000000000005</v>
      </c>
      <c r="P82" s="77">
        <v>4082.4000000000005</v>
      </c>
      <c r="Q82" s="35"/>
      <c r="R82" s="32"/>
      <c r="V82" s="87"/>
    </row>
    <row r="83" spans="1:24" ht="17" thickBot="1">
      <c r="A83" s="35"/>
      <c r="B83" s="55"/>
      <c r="C83" s="100"/>
      <c r="D83" s="45"/>
      <c r="E83" s="92"/>
      <c r="F83" s="70"/>
      <c r="G83" s="70"/>
      <c r="H83" s="71"/>
      <c r="I83" s="71"/>
      <c r="J83" s="35"/>
      <c r="K83" s="36"/>
      <c r="L83" s="53"/>
      <c r="M83" s="75"/>
      <c r="N83" s="75"/>
      <c r="O83" s="80"/>
      <c r="P83" s="76"/>
      <c r="Q83" s="35"/>
      <c r="R83" s="32"/>
      <c r="V83" s="87"/>
      <c r="X83" s="87"/>
    </row>
    <row r="84" spans="1:24" s="84" customFormat="1" ht="15.75" customHeight="1" thickBot="1">
      <c r="A84" s="35"/>
      <c r="B84" s="55"/>
      <c r="C84" s="93"/>
      <c r="D84" s="45"/>
      <c r="E84" s="82"/>
      <c r="F84" s="615" t="s">
        <v>23</v>
      </c>
      <c r="G84" s="616"/>
      <c r="H84" s="617">
        <v>4082.4000000000005</v>
      </c>
      <c r="I84" s="618"/>
      <c r="J84" s="35"/>
      <c r="K84" s="36"/>
      <c r="L84" s="37"/>
      <c r="M84" s="619" t="s">
        <v>23</v>
      </c>
      <c r="N84" s="620"/>
      <c r="O84" s="621">
        <v>4082.4000000000005</v>
      </c>
      <c r="P84" s="622"/>
      <c r="Q84" s="35"/>
      <c r="R84" s="83"/>
    </row>
    <row r="85" spans="1:24" ht="17" thickBot="1">
      <c r="A85" s="35"/>
      <c r="B85" s="55">
        <v>9</v>
      </c>
      <c r="C85" s="86" t="s">
        <v>36</v>
      </c>
      <c r="D85" s="45"/>
      <c r="E85" s="63"/>
      <c r="F85" s="63"/>
      <c r="G85" s="63"/>
      <c r="H85" s="63"/>
      <c r="I85" s="64"/>
      <c r="J85" s="53"/>
      <c r="K85" s="40"/>
      <c r="L85" s="37"/>
      <c r="M85" s="65"/>
      <c r="N85" s="66"/>
      <c r="O85" s="66"/>
      <c r="P85" s="67"/>
      <c r="Q85" s="35"/>
      <c r="R85" s="32"/>
    </row>
    <row r="86" spans="1:24" ht="17">
      <c r="A86" s="35"/>
      <c r="B86" s="55">
        <v>9.1</v>
      </c>
      <c r="C86" s="100" t="s">
        <v>123</v>
      </c>
      <c r="D86" s="45"/>
      <c r="E86" s="69" t="s">
        <v>61</v>
      </c>
      <c r="F86" s="69" t="s">
        <v>52</v>
      </c>
      <c r="G86" s="70">
        <v>1</v>
      </c>
      <c r="H86" s="71">
        <v>4082.4000000000005</v>
      </c>
      <c r="I86" s="72">
        <v>4082.4000000000005</v>
      </c>
      <c r="J86" s="35"/>
      <c r="K86" s="36"/>
      <c r="L86" s="53"/>
      <c r="M86" s="75" t="s">
        <v>84</v>
      </c>
      <c r="N86" s="75">
        <v>1</v>
      </c>
      <c r="O86" s="80">
        <v>4082.4000000000005</v>
      </c>
      <c r="P86" s="76">
        <v>4082.4000000000005</v>
      </c>
      <c r="Q86" s="35"/>
      <c r="R86" s="32"/>
      <c r="V86" s="87"/>
    </row>
    <row r="87" spans="1:24" ht="17" thickBot="1">
      <c r="A87" s="35"/>
      <c r="B87" s="55"/>
      <c r="C87" s="100"/>
      <c r="D87" s="45"/>
      <c r="E87" s="92"/>
      <c r="F87" s="70"/>
      <c r="G87" s="70"/>
      <c r="H87" s="71"/>
      <c r="I87" s="71"/>
      <c r="J87" s="35"/>
      <c r="K87" s="36"/>
      <c r="L87" s="53"/>
      <c r="M87" s="75"/>
      <c r="N87" s="75"/>
      <c r="O87" s="80"/>
      <c r="P87" s="76"/>
      <c r="Q87" s="35"/>
      <c r="R87" s="32"/>
      <c r="V87" s="87"/>
      <c r="X87" s="87"/>
    </row>
    <row r="88" spans="1:24" s="84" customFormat="1" ht="15.75" customHeight="1" thickBot="1">
      <c r="A88" s="35"/>
      <c r="B88" s="55"/>
      <c r="C88" s="81"/>
      <c r="D88" s="45"/>
      <c r="E88" s="82"/>
      <c r="F88" s="615" t="s">
        <v>23</v>
      </c>
      <c r="G88" s="616"/>
      <c r="H88" s="617">
        <v>4082.4000000000005</v>
      </c>
      <c r="I88" s="618"/>
      <c r="J88" s="35"/>
      <c r="K88" s="36"/>
      <c r="L88" s="37"/>
      <c r="M88" s="619" t="s">
        <v>23</v>
      </c>
      <c r="N88" s="620"/>
      <c r="O88" s="621">
        <v>4082.4000000000005</v>
      </c>
      <c r="P88" s="622"/>
      <c r="Q88" s="35"/>
      <c r="R88" s="83"/>
    </row>
    <row r="89" spans="1:24" ht="17" hidden="1" thickBot="1">
      <c r="A89" s="35"/>
      <c r="B89" s="55">
        <v>10</v>
      </c>
      <c r="C89" s="86" t="s">
        <v>124</v>
      </c>
      <c r="D89" s="45"/>
      <c r="E89" s="63"/>
      <c r="F89" s="63"/>
      <c r="G89" s="63"/>
      <c r="H89" s="63"/>
      <c r="I89" s="64"/>
      <c r="J89" s="53"/>
      <c r="K89" s="40"/>
      <c r="L89" s="37"/>
      <c r="M89" s="65"/>
      <c r="N89" s="66"/>
      <c r="O89" s="66"/>
      <c r="P89" s="67"/>
      <c r="Q89" s="35"/>
      <c r="R89" s="32"/>
    </row>
    <row r="90" spans="1:24" ht="18" hidden="1" thickBot="1">
      <c r="A90" s="35"/>
      <c r="B90" s="55">
        <v>10.1</v>
      </c>
      <c r="C90" s="101" t="s">
        <v>125</v>
      </c>
      <c r="D90" s="45"/>
      <c r="E90" s="69" t="s">
        <v>63</v>
      </c>
      <c r="F90" s="69" t="s">
        <v>63</v>
      </c>
      <c r="G90" s="70">
        <v>0</v>
      </c>
      <c r="H90" s="71">
        <v>0</v>
      </c>
      <c r="I90" s="72">
        <v>0</v>
      </c>
      <c r="J90" s="35"/>
      <c r="K90" s="36"/>
      <c r="L90" s="53"/>
      <c r="M90" s="75" t="s">
        <v>52</v>
      </c>
      <c r="N90" s="75">
        <v>0</v>
      </c>
      <c r="O90" s="80">
        <v>58320.000000000007</v>
      </c>
      <c r="P90" s="76">
        <v>0</v>
      </c>
      <c r="Q90" s="35"/>
      <c r="R90" s="32"/>
      <c r="V90" s="87"/>
    </row>
    <row r="91" spans="1:24" ht="18" hidden="1" thickBot="1">
      <c r="A91" s="35"/>
      <c r="B91" s="55">
        <v>10.199999999999999</v>
      </c>
      <c r="C91" s="101" t="s">
        <v>126</v>
      </c>
      <c r="D91" s="45"/>
      <c r="E91" s="69" t="s">
        <v>63</v>
      </c>
      <c r="F91" s="69" t="s">
        <v>63</v>
      </c>
      <c r="G91" s="70">
        <v>0</v>
      </c>
      <c r="H91" s="71">
        <v>0</v>
      </c>
      <c r="I91" s="72">
        <v>0</v>
      </c>
      <c r="J91" s="35"/>
      <c r="K91" s="36"/>
      <c r="L91" s="53"/>
      <c r="M91" s="75" t="s">
        <v>52</v>
      </c>
      <c r="N91" s="75">
        <v>1</v>
      </c>
      <c r="O91" s="80">
        <v>2332.8000000000002</v>
      </c>
      <c r="P91" s="76">
        <v>2332.8000000000002</v>
      </c>
      <c r="Q91" s="35"/>
      <c r="R91" s="32"/>
      <c r="V91" s="87"/>
    </row>
    <row r="92" spans="1:24" ht="18" hidden="1" thickBot="1">
      <c r="A92" s="35"/>
      <c r="B92" s="55">
        <v>10.3</v>
      </c>
      <c r="C92" s="101" t="s">
        <v>127</v>
      </c>
      <c r="D92" s="45"/>
      <c r="E92" s="69" t="s">
        <v>63</v>
      </c>
      <c r="F92" s="69" t="s">
        <v>63</v>
      </c>
      <c r="G92" s="70">
        <v>0</v>
      </c>
      <c r="H92" s="71">
        <v>0</v>
      </c>
      <c r="I92" s="72">
        <v>0</v>
      </c>
      <c r="J92" s="35"/>
      <c r="K92" s="36"/>
      <c r="L92" s="53"/>
      <c r="M92" s="75" t="s">
        <v>52</v>
      </c>
      <c r="N92" s="75">
        <v>1</v>
      </c>
      <c r="O92" s="80">
        <v>2332.8000000000002</v>
      </c>
      <c r="P92" s="76">
        <v>2332.8000000000002</v>
      </c>
      <c r="Q92" s="35"/>
      <c r="R92" s="32"/>
      <c r="V92" s="87"/>
    </row>
    <row r="93" spans="1:24" ht="18" hidden="1" thickBot="1">
      <c r="A93" s="35"/>
      <c r="B93" s="55">
        <v>10.4</v>
      </c>
      <c r="C93" s="101" t="s">
        <v>128</v>
      </c>
      <c r="D93" s="45"/>
      <c r="E93" s="69" t="s">
        <v>63</v>
      </c>
      <c r="F93" s="69" t="s">
        <v>63</v>
      </c>
      <c r="G93" s="70">
        <v>0</v>
      </c>
      <c r="H93" s="71">
        <v>0</v>
      </c>
      <c r="I93" s="72">
        <v>0</v>
      </c>
      <c r="J93" s="35"/>
      <c r="K93" s="36"/>
      <c r="L93" s="53"/>
      <c r="M93" s="75" t="s">
        <v>52</v>
      </c>
      <c r="N93" s="75">
        <v>1</v>
      </c>
      <c r="O93" s="80">
        <v>2332.8000000000002</v>
      </c>
      <c r="P93" s="76">
        <v>2332.8000000000002</v>
      </c>
      <c r="Q93" s="35"/>
      <c r="R93" s="32"/>
      <c r="V93" s="87"/>
    </row>
    <row r="94" spans="1:24" ht="17" hidden="1" thickBot="1">
      <c r="A94" s="35"/>
      <c r="B94" s="55"/>
      <c r="C94" s="100"/>
      <c r="D94" s="45"/>
      <c r="E94" s="92"/>
      <c r="F94" s="70"/>
      <c r="G94" s="70"/>
      <c r="H94" s="71"/>
      <c r="I94" s="71"/>
      <c r="J94" s="35"/>
      <c r="K94" s="36"/>
      <c r="L94" s="53"/>
      <c r="M94" s="75"/>
      <c r="N94" s="75"/>
      <c r="O94" s="80"/>
      <c r="P94" s="76"/>
      <c r="Q94" s="35"/>
      <c r="R94" s="32"/>
      <c r="V94" s="87"/>
      <c r="X94" s="87"/>
    </row>
    <row r="95" spans="1:24" s="84" customFormat="1" ht="15.75" hidden="1" customHeight="1">
      <c r="A95" s="35"/>
      <c r="B95" s="55"/>
      <c r="C95" s="81"/>
      <c r="D95" s="45"/>
      <c r="E95" s="82"/>
      <c r="F95" s="615" t="s">
        <v>23</v>
      </c>
      <c r="G95" s="616"/>
      <c r="H95" s="617">
        <v>0</v>
      </c>
      <c r="I95" s="618"/>
      <c r="J95" s="35"/>
      <c r="K95" s="36"/>
      <c r="L95" s="37"/>
      <c r="M95" s="619" t="s">
        <v>23</v>
      </c>
      <c r="N95" s="620"/>
      <c r="O95" s="621">
        <v>6998.4000000000005</v>
      </c>
      <c r="P95" s="622"/>
      <c r="Q95" s="35"/>
      <c r="R95" s="83"/>
    </row>
    <row r="96" spans="1:24" ht="17" thickBot="1">
      <c r="A96" s="35"/>
      <c r="B96" s="55">
        <v>11</v>
      </c>
      <c r="C96" s="86" t="s">
        <v>129</v>
      </c>
      <c r="D96" s="45"/>
      <c r="E96" s="63"/>
      <c r="F96" s="63"/>
      <c r="G96" s="63"/>
      <c r="H96" s="63"/>
      <c r="I96" s="64"/>
      <c r="J96" s="53"/>
      <c r="K96" s="40"/>
      <c r="L96" s="37"/>
      <c r="M96" s="65"/>
      <c r="N96" s="66"/>
      <c r="O96" s="66"/>
      <c r="P96" s="67"/>
      <c r="Q96" s="35"/>
      <c r="R96" s="32"/>
    </row>
    <row r="97" spans="1:78" ht="17">
      <c r="A97" s="35"/>
      <c r="B97" s="55">
        <v>11.1</v>
      </c>
      <c r="C97" s="100" t="s">
        <v>130</v>
      </c>
      <c r="D97" s="45"/>
      <c r="E97" s="69" t="s">
        <v>61</v>
      </c>
      <c r="F97" s="69" t="s">
        <v>52</v>
      </c>
      <c r="G97" s="70">
        <v>1</v>
      </c>
      <c r="H97" s="71">
        <v>5832</v>
      </c>
      <c r="I97" s="72">
        <v>5832</v>
      </c>
      <c r="J97" s="35"/>
      <c r="K97" s="36"/>
      <c r="L97" s="53"/>
      <c r="M97" s="75" t="s">
        <v>52</v>
      </c>
      <c r="N97" s="75">
        <v>1</v>
      </c>
      <c r="O97" s="80">
        <v>5832</v>
      </c>
      <c r="P97" s="76">
        <v>5832</v>
      </c>
      <c r="Q97" s="35"/>
      <c r="R97" s="32"/>
      <c r="V97" s="87"/>
    </row>
    <row r="98" spans="1:78" ht="17" thickBot="1">
      <c r="A98" s="35"/>
      <c r="B98" s="55"/>
      <c r="C98" s="100"/>
      <c r="D98" s="45"/>
      <c r="E98" s="92"/>
      <c r="F98" s="70"/>
      <c r="G98" s="70"/>
      <c r="H98" s="71"/>
      <c r="I98" s="71"/>
      <c r="J98" s="35"/>
      <c r="K98" s="36"/>
      <c r="L98" s="53"/>
      <c r="M98" s="75"/>
      <c r="N98" s="75"/>
      <c r="O98" s="80"/>
      <c r="P98" s="76"/>
      <c r="Q98" s="35"/>
      <c r="R98" s="32"/>
      <c r="V98" s="87"/>
      <c r="X98" s="87"/>
    </row>
    <row r="99" spans="1:78" s="84" customFormat="1" ht="15.75" customHeight="1" thickBot="1">
      <c r="A99" s="35"/>
      <c r="B99" s="55"/>
      <c r="C99" s="81"/>
      <c r="D99" s="45"/>
      <c r="E99" s="82"/>
      <c r="F99" s="615" t="s">
        <v>23</v>
      </c>
      <c r="G99" s="616"/>
      <c r="H99" s="617">
        <v>5832</v>
      </c>
      <c r="I99" s="618"/>
      <c r="J99" s="35"/>
      <c r="K99" s="36"/>
      <c r="L99" s="37"/>
      <c r="M99" s="619" t="s">
        <v>23</v>
      </c>
      <c r="N99" s="620"/>
      <c r="O99" s="621">
        <v>5832</v>
      </c>
      <c r="P99" s="622"/>
      <c r="Q99" s="35"/>
      <c r="R99" s="83"/>
    </row>
    <row r="100" spans="1:78" ht="17" thickBot="1">
      <c r="A100" s="35"/>
      <c r="B100" s="55">
        <v>12</v>
      </c>
      <c r="C100" s="86" t="s">
        <v>37</v>
      </c>
      <c r="D100" s="45"/>
      <c r="E100" s="63"/>
      <c r="F100" s="63"/>
      <c r="G100" s="63"/>
      <c r="H100" s="63"/>
      <c r="I100" s="64"/>
      <c r="J100" s="53"/>
      <c r="K100" s="40"/>
      <c r="L100" s="37"/>
      <c r="M100" s="65"/>
      <c r="N100" s="66"/>
      <c r="O100" s="66"/>
      <c r="P100" s="67"/>
      <c r="Q100" s="35"/>
      <c r="R100" s="32"/>
    </row>
    <row r="101" spans="1:78">
      <c r="A101" s="35"/>
      <c r="B101" s="55">
        <v>12.1</v>
      </c>
      <c r="C101" s="102" t="s">
        <v>131</v>
      </c>
      <c r="D101" s="45"/>
      <c r="E101" s="69" t="s">
        <v>61</v>
      </c>
      <c r="F101" s="69" t="s">
        <v>52</v>
      </c>
      <c r="G101" s="70">
        <v>1</v>
      </c>
      <c r="H101" s="71">
        <v>4665.6000000000004</v>
      </c>
      <c r="I101" s="72">
        <v>4665.6000000000004</v>
      </c>
      <c r="J101" s="35"/>
      <c r="K101" s="36"/>
      <c r="L101" s="53"/>
      <c r="M101" s="75" t="s">
        <v>52</v>
      </c>
      <c r="N101" s="75">
        <v>1</v>
      </c>
      <c r="O101" s="76">
        <v>4665.6000000000004</v>
      </c>
      <c r="P101" s="76">
        <v>4665.6000000000004</v>
      </c>
      <c r="Q101" s="35"/>
      <c r="R101" s="32"/>
      <c r="V101" s="87"/>
    </row>
    <row r="102" spans="1:78" hidden="1">
      <c r="A102" s="35"/>
      <c r="B102" s="55">
        <v>12.2</v>
      </c>
      <c r="C102" s="102" t="s">
        <v>132</v>
      </c>
      <c r="D102" s="45"/>
      <c r="E102" s="69" t="s">
        <v>63</v>
      </c>
      <c r="F102" s="69" t="s">
        <v>63</v>
      </c>
      <c r="G102" s="70">
        <v>0</v>
      </c>
      <c r="H102" s="71">
        <v>0</v>
      </c>
      <c r="I102" s="72">
        <v>0</v>
      </c>
      <c r="J102" s="35"/>
      <c r="K102" s="36"/>
      <c r="L102" s="53"/>
      <c r="M102" s="75" t="s">
        <v>52</v>
      </c>
      <c r="N102" s="75">
        <v>0</v>
      </c>
      <c r="O102" s="76">
        <v>5248.8</v>
      </c>
      <c r="P102" s="76">
        <v>0</v>
      </c>
      <c r="Q102" s="35"/>
      <c r="R102" s="32"/>
      <c r="V102" s="87"/>
      <c r="X102" s="87"/>
    </row>
    <row r="103" spans="1:78" hidden="1">
      <c r="A103" s="35"/>
      <c r="B103" s="55">
        <v>12.3</v>
      </c>
      <c r="C103" s="102" t="s">
        <v>133</v>
      </c>
      <c r="D103" s="45"/>
      <c r="E103" s="69" t="s">
        <v>63</v>
      </c>
      <c r="F103" s="69" t="s">
        <v>63</v>
      </c>
      <c r="G103" s="70">
        <v>0</v>
      </c>
      <c r="H103" s="71">
        <v>0</v>
      </c>
      <c r="I103" s="72">
        <v>0</v>
      </c>
      <c r="J103" s="35"/>
      <c r="K103" s="36"/>
      <c r="L103" s="53"/>
      <c r="M103" s="75" t="s">
        <v>52</v>
      </c>
      <c r="N103" s="75">
        <v>0</v>
      </c>
      <c r="O103" s="76">
        <v>4082.4000000000005</v>
      </c>
      <c r="P103" s="76">
        <v>0</v>
      </c>
      <c r="Q103" s="35"/>
      <c r="R103" s="32"/>
      <c r="V103" s="87"/>
      <c r="W103" s="96"/>
    </row>
    <row r="104" spans="1:78" hidden="1">
      <c r="A104" s="35"/>
      <c r="B104" s="55">
        <v>12.4</v>
      </c>
      <c r="C104" s="102" t="s">
        <v>134</v>
      </c>
      <c r="D104" s="45"/>
      <c r="E104" s="69" t="s">
        <v>63</v>
      </c>
      <c r="F104" s="69" t="s">
        <v>63</v>
      </c>
      <c r="G104" s="70">
        <v>0</v>
      </c>
      <c r="H104" s="71">
        <v>0</v>
      </c>
      <c r="I104" s="72">
        <v>0</v>
      </c>
      <c r="J104" s="35"/>
      <c r="K104" s="36"/>
      <c r="L104" s="53"/>
      <c r="M104" s="75" t="s">
        <v>52</v>
      </c>
      <c r="N104" s="75">
        <v>0</v>
      </c>
      <c r="O104" s="76">
        <v>4082.4000000000005</v>
      </c>
      <c r="P104" s="76">
        <v>0</v>
      </c>
      <c r="Q104" s="35"/>
      <c r="R104" s="32"/>
      <c r="V104" s="87"/>
      <c r="X104" s="87"/>
    </row>
    <row r="105" spans="1:78" hidden="1">
      <c r="A105" s="35"/>
      <c r="B105" s="55">
        <v>12.5</v>
      </c>
      <c r="C105" s="102" t="s">
        <v>135</v>
      </c>
      <c r="D105" s="45"/>
      <c r="E105" s="69" t="s">
        <v>63</v>
      </c>
      <c r="F105" s="69" t="s">
        <v>63</v>
      </c>
      <c r="G105" s="70">
        <v>0</v>
      </c>
      <c r="H105" s="71">
        <v>0</v>
      </c>
      <c r="I105" s="72">
        <v>0</v>
      </c>
      <c r="J105" s="35"/>
      <c r="K105" s="36"/>
      <c r="L105" s="53"/>
      <c r="M105" s="75" t="s">
        <v>52</v>
      </c>
      <c r="N105" s="75">
        <v>0</v>
      </c>
      <c r="O105" s="76">
        <v>11664</v>
      </c>
      <c r="P105" s="76">
        <v>0</v>
      </c>
      <c r="Q105" s="35"/>
      <c r="R105" s="32"/>
      <c r="V105" s="87"/>
      <c r="W105" s="96"/>
    </row>
    <row r="106" spans="1:78" ht="17" thickBot="1">
      <c r="A106" s="35"/>
      <c r="B106" s="43"/>
      <c r="C106" s="102"/>
      <c r="D106" s="45"/>
      <c r="E106" s="88"/>
      <c r="F106" s="69" t="s">
        <v>63</v>
      </c>
      <c r="G106" s="70"/>
      <c r="H106" s="71"/>
      <c r="I106" s="103"/>
      <c r="J106" s="35"/>
      <c r="K106" s="36"/>
      <c r="L106" s="53"/>
      <c r="M106" s="75"/>
      <c r="N106" s="104"/>
      <c r="O106" s="91"/>
      <c r="P106" s="95"/>
      <c r="Q106" s="35"/>
      <c r="R106" s="32"/>
      <c r="V106" s="87"/>
      <c r="W106" s="96"/>
    </row>
    <row r="107" spans="1:78" s="84" customFormat="1" ht="15.75" customHeight="1" thickBot="1">
      <c r="A107" s="35"/>
      <c r="B107" s="43"/>
      <c r="C107" s="81"/>
      <c r="D107" s="45"/>
      <c r="E107" s="82"/>
      <c r="F107" s="615" t="s">
        <v>23</v>
      </c>
      <c r="G107" s="616"/>
      <c r="H107" s="617">
        <v>4665.6000000000004</v>
      </c>
      <c r="I107" s="618"/>
      <c r="J107" s="35"/>
      <c r="K107" s="36"/>
      <c r="L107" s="37"/>
      <c r="M107" s="619" t="s">
        <v>23</v>
      </c>
      <c r="N107" s="620"/>
      <c r="O107" s="621">
        <v>4665.6000000000004</v>
      </c>
      <c r="P107" s="622"/>
      <c r="Q107" s="35"/>
      <c r="R107" s="83"/>
    </row>
    <row r="108" spans="1:78" ht="7.5" customHeight="1" thickBot="1">
      <c r="A108" s="35" t="s">
        <v>136</v>
      </c>
      <c r="B108" s="43"/>
      <c r="C108" s="646"/>
      <c r="D108" s="647"/>
      <c r="E108" s="647"/>
      <c r="F108" s="647"/>
      <c r="G108" s="647"/>
      <c r="H108" s="647"/>
      <c r="I108" s="647"/>
      <c r="J108" s="647"/>
      <c r="K108" s="648"/>
      <c r="L108" s="649"/>
      <c r="M108" s="649"/>
      <c r="N108" s="649"/>
      <c r="O108" s="647"/>
      <c r="P108" s="650"/>
      <c r="Q108" s="35"/>
      <c r="R108" s="32"/>
    </row>
    <row r="109" spans="1:78" ht="17" thickBot="1">
      <c r="A109" s="35" t="s">
        <v>136</v>
      </c>
      <c r="B109" s="105"/>
      <c r="C109" s="106" t="s">
        <v>137</v>
      </c>
      <c r="D109" s="107"/>
      <c r="E109" s="651" t="s">
        <v>23</v>
      </c>
      <c r="F109" s="652"/>
      <c r="G109" s="653"/>
      <c r="H109" s="617">
        <v>37616.400000000001</v>
      </c>
      <c r="I109" s="618"/>
      <c r="J109" s="35"/>
      <c r="K109" s="108"/>
      <c r="L109" s="33"/>
      <c r="M109" s="109"/>
      <c r="N109" s="109"/>
      <c r="O109" s="109"/>
      <c r="P109" s="110"/>
      <c r="Q109" s="35"/>
      <c r="R109" s="32"/>
    </row>
    <row r="110" spans="1:78">
      <c r="A110" s="35"/>
      <c r="B110" s="654" t="s">
        <v>138</v>
      </c>
      <c r="C110" s="654"/>
      <c r="D110" s="654"/>
      <c r="E110" s="654"/>
      <c r="F110" s="654"/>
      <c r="G110" s="654"/>
      <c r="H110" s="654"/>
      <c r="I110" s="654"/>
      <c r="J110" s="35"/>
      <c r="K110" s="40"/>
      <c r="L110" s="35"/>
      <c r="M110" s="111"/>
      <c r="N110" s="111"/>
      <c r="O110" s="111"/>
      <c r="P110" s="111"/>
      <c r="Q110" s="35"/>
      <c r="R110" s="111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</row>
    <row r="111" spans="1:78">
      <c r="A111" s="35"/>
      <c r="B111" s="655"/>
      <c r="C111" s="655"/>
      <c r="D111" s="655"/>
      <c r="E111" s="655"/>
      <c r="F111" s="655"/>
      <c r="G111" s="655"/>
      <c r="H111" s="655"/>
      <c r="I111" s="655"/>
      <c r="J111" s="35"/>
      <c r="K111" s="40"/>
      <c r="L111" s="35"/>
      <c r="M111" s="111"/>
      <c r="N111" s="111"/>
      <c r="O111" s="111"/>
      <c r="P111" s="111"/>
      <c r="Q111" s="35"/>
      <c r="R111" s="111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</row>
    <row r="112" spans="1:78" ht="25.5" customHeight="1">
      <c r="A112" s="35"/>
      <c r="B112" s="655"/>
      <c r="C112" s="655"/>
      <c r="D112" s="655"/>
      <c r="E112" s="655"/>
      <c r="F112" s="655"/>
      <c r="G112" s="655"/>
      <c r="H112" s="655"/>
      <c r="I112" s="655"/>
      <c r="J112" s="35"/>
      <c r="K112" s="83"/>
      <c r="L112" s="35"/>
      <c r="M112" s="32"/>
      <c r="N112" s="32"/>
      <c r="O112" s="32"/>
      <c r="P112" s="32"/>
      <c r="Q112" s="35"/>
      <c r="R112" s="32"/>
    </row>
    <row r="113" spans="1:18">
      <c r="A113" s="32"/>
      <c r="B113" s="113"/>
      <c r="C113" s="28"/>
      <c r="D113" s="28"/>
      <c r="E113" s="30"/>
      <c r="F113" s="28"/>
      <c r="G113" s="28"/>
      <c r="H113" s="28"/>
      <c r="I113" s="28"/>
      <c r="J113" s="32"/>
      <c r="K113" s="83"/>
      <c r="L113" s="32"/>
      <c r="M113" s="32"/>
      <c r="N113" s="32"/>
      <c r="O113" s="32"/>
      <c r="P113" s="32"/>
      <c r="Q113" s="32"/>
      <c r="R113" s="32"/>
    </row>
  </sheetData>
  <sheetProtection algorithmName="SHA-512" hashValue="XWQwb0k7pwdUtozqYmLDXa90rOAiohnWMk+8iNwSx54KtzdfoVHWYMhWvv5hjGQuUMDhOmDzA6+TYlDU3gsPHA==" saltValue="mndyibeYiOl/rXTN8eTjzQ==" spinCount="100000" sheet="1" objects="1" scenarios="1"/>
  <mergeCells count="61">
    <mergeCell ref="C108:P108"/>
    <mergeCell ref="E109:G109"/>
    <mergeCell ref="H109:I109"/>
    <mergeCell ref="B110:I112"/>
    <mergeCell ref="F99:G99"/>
    <mergeCell ref="H99:I99"/>
    <mergeCell ref="M99:N99"/>
    <mergeCell ref="O99:P99"/>
    <mergeCell ref="F107:G107"/>
    <mergeCell ref="H107:I107"/>
    <mergeCell ref="M107:N107"/>
    <mergeCell ref="O107:P107"/>
    <mergeCell ref="F88:G88"/>
    <mergeCell ref="H88:I88"/>
    <mergeCell ref="M88:N88"/>
    <mergeCell ref="O88:P88"/>
    <mergeCell ref="F95:G95"/>
    <mergeCell ref="H95:I95"/>
    <mergeCell ref="M95:N95"/>
    <mergeCell ref="O95:P95"/>
    <mergeCell ref="F80:G80"/>
    <mergeCell ref="H80:I80"/>
    <mergeCell ref="M80:N80"/>
    <mergeCell ref="O80:P80"/>
    <mergeCell ref="F84:G84"/>
    <mergeCell ref="H84:I84"/>
    <mergeCell ref="M84:N84"/>
    <mergeCell ref="O84:P84"/>
    <mergeCell ref="F50:G50"/>
    <mergeCell ref="H50:I50"/>
    <mergeCell ref="M50:N50"/>
    <mergeCell ref="O50:P50"/>
    <mergeCell ref="F72:G72"/>
    <mergeCell ref="H72:I72"/>
    <mergeCell ref="M72:N72"/>
    <mergeCell ref="O72:P72"/>
    <mergeCell ref="F29:G29"/>
    <mergeCell ref="H29:I29"/>
    <mergeCell ref="M29:N29"/>
    <mergeCell ref="O29:P29"/>
    <mergeCell ref="F33:G33"/>
    <mergeCell ref="H33:I33"/>
    <mergeCell ref="M33:N33"/>
    <mergeCell ref="O33:P33"/>
    <mergeCell ref="F20:G20"/>
    <mergeCell ref="H20:I20"/>
    <mergeCell ref="M20:N20"/>
    <mergeCell ref="O20:P20"/>
    <mergeCell ref="F25:G25"/>
    <mergeCell ref="H25:I25"/>
    <mergeCell ref="M25:N25"/>
    <mergeCell ref="O25:P25"/>
    <mergeCell ref="F13:G13"/>
    <mergeCell ref="H13:I13"/>
    <mergeCell ref="M13:N13"/>
    <mergeCell ref="O13:P13"/>
    <mergeCell ref="B2:F3"/>
    <mergeCell ref="M2:P3"/>
    <mergeCell ref="B4:I4"/>
    <mergeCell ref="E5:I5"/>
    <mergeCell ref="M7:P7"/>
  </mergeCells>
  <conditionalFormatting sqref="E9:E12 E15:E18">
    <cfRule type="expression" priority="1">
      <formula>$H$9:$H$10&gt;x</formula>
    </cfRule>
    <cfRule type="expression" priority="2">
      <formula>$H$9&lt;x</formula>
    </cfRule>
  </conditionalFormatting>
  <pageMargins left="0.7" right="0.7" top="0.75" bottom="0.75" header="0.3" footer="0.3"/>
  <pageSetup paperSize="9" scale="62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1EA8-9C97-E14E-A4C8-6DB346137FDD}">
  <dimension ref="I9:M36"/>
  <sheetViews>
    <sheetView topLeftCell="D1" workbookViewId="0">
      <selection activeCell="I9" sqref="I9"/>
    </sheetView>
  </sheetViews>
  <sheetFormatPr baseColWidth="10" defaultRowHeight="15"/>
  <cols>
    <col min="9" max="9" width="18.83203125" customWidth="1"/>
  </cols>
  <sheetData>
    <row r="9" spans="9:13">
      <c r="I9" s="465" t="s">
        <v>353</v>
      </c>
    </row>
    <row r="10" spans="9:13">
      <c r="I10" s="554"/>
      <c r="J10" s="554"/>
      <c r="K10" s="554"/>
      <c r="L10" s="554"/>
      <c r="M10" s="554"/>
    </row>
    <row r="11" spans="9:13">
      <c r="I11" s="554"/>
      <c r="J11" s="554"/>
      <c r="K11" s="554" t="s">
        <v>340</v>
      </c>
      <c r="L11" s="554"/>
      <c r="M11" s="554"/>
    </row>
    <row r="12" spans="9:13">
      <c r="I12" s="554" t="s">
        <v>314</v>
      </c>
      <c r="J12" s="554">
        <v>4213.3900000000003</v>
      </c>
      <c r="K12" s="554">
        <f>J12/5</f>
        <v>842.67800000000011</v>
      </c>
      <c r="L12" s="554"/>
      <c r="M12" s="554" t="s">
        <v>341</v>
      </c>
    </row>
    <row r="13" spans="9:13">
      <c r="I13" s="554" t="s">
        <v>315</v>
      </c>
      <c r="J13" s="554">
        <v>36342.11</v>
      </c>
      <c r="K13" s="554">
        <f t="shared" ref="K13:K36" si="0">J13/5</f>
        <v>7268.4220000000005</v>
      </c>
      <c r="L13" s="554"/>
      <c r="M13" s="554" t="s">
        <v>341</v>
      </c>
    </row>
    <row r="14" spans="9:13">
      <c r="I14" s="554" t="s">
        <v>316</v>
      </c>
      <c r="J14" s="554">
        <v>6030.05</v>
      </c>
      <c r="K14" s="554">
        <f t="shared" si="0"/>
        <v>1206.01</v>
      </c>
      <c r="L14" s="554"/>
      <c r="M14" s="554" t="s">
        <v>341</v>
      </c>
    </row>
    <row r="15" spans="9:13">
      <c r="I15" s="554" t="s">
        <v>318</v>
      </c>
      <c r="J15" s="554">
        <v>176323.3</v>
      </c>
      <c r="K15" s="554">
        <f t="shared" si="0"/>
        <v>35264.659999999996</v>
      </c>
      <c r="L15" s="554"/>
      <c r="M15" s="554"/>
    </row>
    <row r="16" spans="9:13">
      <c r="I16" s="554" t="s">
        <v>319</v>
      </c>
      <c r="J16" s="554">
        <v>15563.93</v>
      </c>
      <c r="K16" s="554">
        <f>J16/4</f>
        <v>3890.9825000000001</v>
      </c>
      <c r="L16" s="554" t="s">
        <v>320</v>
      </c>
      <c r="M16" s="554"/>
    </row>
    <row r="17" spans="9:13">
      <c r="I17" s="554" t="s">
        <v>321</v>
      </c>
      <c r="J17" s="554">
        <v>421.97</v>
      </c>
      <c r="K17" s="554">
        <f t="shared" si="0"/>
        <v>84.394000000000005</v>
      </c>
      <c r="L17" s="554"/>
      <c r="M17" s="554"/>
    </row>
    <row r="18" spans="9:13">
      <c r="I18" s="554" t="s">
        <v>322</v>
      </c>
      <c r="J18" s="554">
        <f>4404+4001+4203+3855</f>
        <v>16463</v>
      </c>
      <c r="K18" s="554">
        <f>J18/4</f>
        <v>4115.75</v>
      </c>
      <c r="L18" s="554" t="s">
        <v>320</v>
      </c>
      <c r="M18" s="554"/>
    </row>
    <row r="19" spans="9:13">
      <c r="I19" s="554" t="s">
        <v>323</v>
      </c>
      <c r="J19" s="554">
        <f>2323+2323+2323+2323</f>
        <v>9292</v>
      </c>
      <c r="K19" s="554">
        <f>J19/4</f>
        <v>2323</v>
      </c>
      <c r="L19" s="554" t="s">
        <v>320</v>
      </c>
      <c r="M19" s="554"/>
    </row>
    <row r="20" spans="9:13">
      <c r="I20" s="554" t="s">
        <v>324</v>
      </c>
      <c r="J20" s="554">
        <f>3078+2823+2911+2565</f>
        <v>11377</v>
      </c>
      <c r="K20" s="554">
        <f>J20/4</f>
        <v>2844.25</v>
      </c>
      <c r="L20" s="554" t="s">
        <v>320</v>
      </c>
      <c r="M20" s="554"/>
    </row>
    <row r="21" spans="9:13">
      <c r="I21" s="554" t="s">
        <v>15</v>
      </c>
      <c r="J21" s="554">
        <v>55669.55</v>
      </c>
      <c r="K21" s="554">
        <f t="shared" si="0"/>
        <v>11133.91</v>
      </c>
      <c r="L21" s="554"/>
      <c r="M21" s="554"/>
    </row>
    <row r="22" spans="9:13">
      <c r="I22" s="554" t="s">
        <v>325</v>
      </c>
      <c r="J22" s="554">
        <v>21997.35</v>
      </c>
      <c r="K22" s="554">
        <f t="shared" si="0"/>
        <v>4399.4699999999993</v>
      </c>
      <c r="L22" s="554"/>
      <c r="M22" s="554"/>
    </row>
    <row r="23" spans="9:13">
      <c r="I23" s="554" t="s">
        <v>326</v>
      </c>
      <c r="J23" s="554">
        <v>28037</v>
      </c>
      <c r="K23" s="554">
        <f t="shared" si="0"/>
        <v>5607.4</v>
      </c>
      <c r="L23" s="554"/>
      <c r="M23" s="554"/>
    </row>
    <row r="24" spans="9:13">
      <c r="I24" s="554" t="s">
        <v>327</v>
      </c>
      <c r="J24" s="554">
        <v>2852</v>
      </c>
      <c r="K24" s="554">
        <f t="shared" si="0"/>
        <v>570.4</v>
      </c>
      <c r="L24" s="554"/>
      <c r="M24" s="554"/>
    </row>
    <row r="25" spans="9:13">
      <c r="I25" s="554" t="s">
        <v>328</v>
      </c>
      <c r="J25" s="554">
        <v>557.17999999999995</v>
      </c>
      <c r="K25" s="554">
        <f>J25/4</f>
        <v>139.29499999999999</v>
      </c>
      <c r="L25" s="554" t="s">
        <v>320</v>
      </c>
      <c r="M25" s="554"/>
    </row>
    <row r="26" spans="9:13">
      <c r="I26" s="554" t="s">
        <v>329</v>
      </c>
      <c r="J26" s="554">
        <v>4742.21</v>
      </c>
      <c r="K26" s="554">
        <f t="shared" si="0"/>
        <v>948.44200000000001</v>
      </c>
      <c r="L26" s="554"/>
      <c r="M26" s="554"/>
    </row>
    <row r="27" spans="9:13">
      <c r="I27" s="554" t="s">
        <v>331</v>
      </c>
      <c r="J27" s="554">
        <v>26978.2</v>
      </c>
      <c r="K27" s="554">
        <f t="shared" si="0"/>
        <v>5395.64</v>
      </c>
      <c r="L27" s="554"/>
      <c r="M27" s="554"/>
    </row>
    <row r="28" spans="9:13">
      <c r="I28" s="554" t="s">
        <v>330</v>
      </c>
      <c r="J28" s="554">
        <v>9574</v>
      </c>
      <c r="K28" s="554">
        <f t="shared" si="0"/>
        <v>1914.8</v>
      </c>
      <c r="L28" s="554"/>
      <c r="M28" s="554"/>
    </row>
    <row r="29" spans="9:13">
      <c r="I29" s="554" t="s">
        <v>332</v>
      </c>
      <c r="J29" s="554">
        <v>7417</v>
      </c>
      <c r="K29" s="554">
        <f t="shared" si="0"/>
        <v>1483.4</v>
      </c>
      <c r="L29" s="554"/>
      <c r="M29" s="554"/>
    </row>
    <row r="30" spans="9:13">
      <c r="I30" s="554" t="s">
        <v>333</v>
      </c>
      <c r="J30" s="554">
        <v>1850</v>
      </c>
      <c r="K30" s="554">
        <f t="shared" si="0"/>
        <v>370</v>
      </c>
      <c r="L30" s="554"/>
      <c r="M30" s="554"/>
    </row>
    <row r="31" spans="9:13">
      <c r="I31" s="554" t="s">
        <v>334</v>
      </c>
      <c r="J31" s="554">
        <v>5400</v>
      </c>
      <c r="K31" s="554">
        <f t="shared" si="0"/>
        <v>1080</v>
      </c>
      <c r="L31" s="554"/>
      <c r="M31" s="554"/>
    </row>
    <row r="32" spans="9:13">
      <c r="I32" s="554" t="s">
        <v>335</v>
      </c>
      <c r="J32" s="554">
        <v>254.41</v>
      </c>
      <c r="K32" s="554">
        <f t="shared" si="0"/>
        <v>50.881999999999998</v>
      </c>
      <c r="L32" s="554"/>
      <c r="M32" s="554"/>
    </row>
    <row r="33" spans="9:13">
      <c r="I33" s="554" t="s">
        <v>336</v>
      </c>
      <c r="J33" s="554">
        <v>2110</v>
      </c>
      <c r="K33" s="554">
        <f t="shared" si="0"/>
        <v>422</v>
      </c>
      <c r="L33" s="554"/>
      <c r="M33" s="554"/>
    </row>
    <row r="34" spans="9:13">
      <c r="I34" s="554" t="s">
        <v>337</v>
      </c>
      <c r="J34" s="554">
        <v>3500</v>
      </c>
      <c r="K34" s="554">
        <f t="shared" si="0"/>
        <v>700</v>
      </c>
      <c r="L34" s="554"/>
      <c r="M34" s="554"/>
    </row>
    <row r="35" spans="9:13">
      <c r="I35" s="554" t="s">
        <v>338</v>
      </c>
      <c r="J35" s="554">
        <v>3403.05</v>
      </c>
      <c r="K35" s="554">
        <f t="shared" si="0"/>
        <v>680.61</v>
      </c>
      <c r="L35" s="554"/>
      <c r="M35" s="554"/>
    </row>
    <row r="36" spans="9:13">
      <c r="I36" s="554" t="s">
        <v>339</v>
      </c>
      <c r="J36" s="554">
        <v>1500</v>
      </c>
      <c r="K36" s="554">
        <f t="shared" si="0"/>
        <v>300</v>
      </c>
      <c r="L36" s="554"/>
      <c r="M36" s="55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3A18-7393-8343-8D83-94562C69E60C}">
  <dimension ref="A1:Q47"/>
  <sheetViews>
    <sheetView workbookViewId="0">
      <selection activeCell="H49" sqref="H49"/>
    </sheetView>
  </sheetViews>
  <sheetFormatPr baseColWidth="10" defaultColWidth="11.5" defaultRowHeight="15"/>
  <cols>
    <col min="1" max="1" width="13.1640625" customWidth="1"/>
    <col min="2" max="2" width="11.33203125" customWidth="1"/>
    <col min="3" max="3" width="11.83203125" customWidth="1"/>
    <col min="13" max="13" width="12.33203125" bestFit="1" customWidth="1"/>
    <col min="15" max="15" width="12.83203125" customWidth="1"/>
    <col min="16" max="16" width="12.5" customWidth="1"/>
  </cols>
  <sheetData>
    <row r="1" spans="1:17">
      <c r="A1" s="465" t="s">
        <v>301</v>
      </c>
    </row>
    <row r="2" spans="1:17">
      <c r="A2" s="465" t="s">
        <v>259</v>
      </c>
      <c r="B2" s="528">
        <f>'Levy Budget 2020'!AB45</f>
        <v>66666.666666666672</v>
      </c>
      <c r="D2" s="465" t="s">
        <v>260</v>
      </c>
      <c r="F2" s="528">
        <f>'Levy Budget 2020'!AC45</f>
        <v>39760.907500000001</v>
      </c>
    </row>
    <row r="3" spans="1:17">
      <c r="A3" s="523"/>
      <c r="B3" s="603" t="s">
        <v>256</v>
      </c>
      <c r="C3" s="603"/>
      <c r="D3" s="603" t="s">
        <v>269</v>
      </c>
      <c r="E3" s="603"/>
      <c r="F3" s="603" t="s">
        <v>270</v>
      </c>
      <c r="G3" s="603"/>
      <c r="H3" s="603" t="s">
        <v>257</v>
      </c>
      <c r="I3" s="603"/>
      <c r="J3" s="523" t="s">
        <v>206</v>
      </c>
      <c r="K3" s="523" t="s">
        <v>267</v>
      </c>
      <c r="L3" s="523" t="s">
        <v>258</v>
      </c>
      <c r="M3" s="523" t="s">
        <v>255</v>
      </c>
      <c r="N3" s="523" t="s">
        <v>300</v>
      </c>
      <c r="O3" s="523" t="s">
        <v>206</v>
      </c>
      <c r="P3" s="523" t="s">
        <v>261</v>
      </c>
      <c r="Q3" s="523" t="s">
        <v>278</v>
      </c>
    </row>
    <row r="4" spans="1:17">
      <c r="A4" s="523" t="s">
        <v>256</v>
      </c>
      <c r="B4" s="523" t="s">
        <v>149</v>
      </c>
      <c r="C4" s="523" t="s">
        <v>266</v>
      </c>
      <c r="D4" s="523" t="s">
        <v>149</v>
      </c>
      <c r="E4" s="523" t="s">
        <v>266</v>
      </c>
      <c r="F4" s="523" t="s">
        <v>149</v>
      </c>
      <c r="G4" s="523" t="s">
        <v>266</v>
      </c>
      <c r="H4" s="523" t="s">
        <v>149</v>
      </c>
      <c r="I4" s="523" t="s">
        <v>266</v>
      </c>
      <c r="J4" s="523" t="s">
        <v>149</v>
      </c>
      <c r="K4" s="523" t="s">
        <v>268</v>
      </c>
      <c r="L4" s="523"/>
      <c r="M4" s="523"/>
      <c r="N4" s="523"/>
      <c r="O4" s="523"/>
      <c r="P4" s="523"/>
      <c r="Q4" s="523"/>
    </row>
    <row r="5" spans="1:17">
      <c r="A5" s="473" t="s">
        <v>154</v>
      </c>
      <c r="B5" t="e">
        <f>#REF!</f>
        <v>#REF!</v>
      </c>
      <c r="C5" s="464" t="e">
        <f t="shared" ref="C5:C38" si="0">B5*B$2</f>
        <v>#REF!</v>
      </c>
      <c r="D5" s="474" t="e">
        <f>#REF!</f>
        <v>#REF!</v>
      </c>
      <c r="E5" s="464" t="e">
        <f t="shared" ref="E5:E38" si="1">D5*B$2</f>
        <v>#REF!</v>
      </c>
      <c r="F5" s="474" t="e">
        <f>#REF!</f>
        <v>#REF!</v>
      </c>
      <c r="G5" s="464" t="e">
        <f t="shared" ref="G5:G38" si="2">F5*B$2</f>
        <v>#REF!</v>
      </c>
      <c r="H5" s="474" t="e">
        <f>#REF!</f>
        <v>#REF!</v>
      </c>
      <c r="I5" s="464" t="e">
        <f t="shared" ref="I5:I38" si="3">H5*B$2</f>
        <v>#REF!</v>
      </c>
      <c r="J5" s="474" t="e">
        <f>B5+D5+F5+H5</f>
        <v>#REF!</v>
      </c>
      <c r="K5" s="471">
        <v>0</v>
      </c>
      <c r="L5" s="528">
        <f>'Levy Budget 2020'!AF6</f>
        <v>40</v>
      </c>
      <c r="M5" s="464" t="e">
        <f t="shared" ref="M5:M38" si="4">J5*F$2</f>
        <v>#REF!</v>
      </c>
      <c r="N5" s="464">
        <f>'Levy Budget 2020'!AD6</f>
        <v>1749.812237459847</v>
      </c>
      <c r="O5" s="464" t="e">
        <f>C5+E5+G5+I5+K5+L5+M5+N5</f>
        <v>#REF!</v>
      </c>
      <c r="P5" s="528">
        <f>'Levy Budget 2020'!AH6</f>
        <v>4814.0699664360436</v>
      </c>
      <c r="Q5" s="464" t="e">
        <f t="shared" ref="Q5:Q38" si="5">O5-P5</f>
        <v>#REF!</v>
      </c>
    </row>
    <row r="6" spans="1:17">
      <c r="A6" s="473" t="s">
        <v>155</v>
      </c>
      <c r="B6" t="e">
        <f>#REF!</f>
        <v>#REF!</v>
      </c>
      <c r="C6" s="464" t="e">
        <f t="shared" si="0"/>
        <v>#REF!</v>
      </c>
      <c r="D6" s="474" t="e">
        <f>#REF!</f>
        <v>#REF!</v>
      </c>
      <c r="E6" s="464" t="e">
        <f t="shared" si="1"/>
        <v>#REF!</v>
      </c>
      <c r="F6" s="474" t="e">
        <f>#REF!</f>
        <v>#REF!</v>
      </c>
      <c r="G6" s="464" t="e">
        <f t="shared" si="2"/>
        <v>#REF!</v>
      </c>
      <c r="H6" s="474" t="e">
        <f>#REF!</f>
        <v>#REF!</v>
      </c>
      <c r="I6" s="464" t="e">
        <f t="shared" si="3"/>
        <v>#REF!</v>
      </c>
      <c r="J6" s="474" t="e">
        <f>B6+D6+F6+H6</f>
        <v>#REF!</v>
      </c>
      <c r="K6" s="471">
        <v>0</v>
      </c>
      <c r="L6" s="528">
        <f>'Levy Budget 2020'!AF7</f>
        <v>40</v>
      </c>
      <c r="M6" s="464" t="e">
        <f t="shared" si="4"/>
        <v>#REF!</v>
      </c>
      <c r="N6" s="464">
        <f>'Levy Budget 2020'!AD7</f>
        <v>2175.8534778848525</v>
      </c>
      <c r="O6" s="464" t="e">
        <f t="shared" ref="O6:O38" si="6">C6+E6+G6+I6+K6+L6+M6+N6</f>
        <v>#REF!</v>
      </c>
      <c r="P6" s="528">
        <f>'Levy Budget 2020'!AH7</f>
        <v>5976.4522191335136</v>
      </c>
      <c r="Q6" s="464" t="e">
        <f t="shared" si="5"/>
        <v>#REF!</v>
      </c>
    </row>
    <row r="7" spans="1:17">
      <c r="A7" s="473" t="s">
        <v>156</v>
      </c>
      <c r="B7" t="e">
        <f>#REF!</f>
        <v>#REF!</v>
      </c>
      <c r="C7" s="464" t="e">
        <f t="shared" si="0"/>
        <v>#REF!</v>
      </c>
      <c r="D7" s="474" t="e">
        <f>#REF!</f>
        <v>#REF!</v>
      </c>
      <c r="E7" s="464" t="e">
        <f t="shared" si="1"/>
        <v>#REF!</v>
      </c>
      <c r="F7" s="474" t="e">
        <f>#REF!</f>
        <v>#REF!</v>
      </c>
      <c r="G7" s="464" t="e">
        <f t="shared" si="2"/>
        <v>#REF!</v>
      </c>
      <c r="H7" s="474" t="e">
        <f>#REF!</f>
        <v>#REF!</v>
      </c>
      <c r="I7" s="464" t="e">
        <f t="shared" si="3"/>
        <v>#REF!</v>
      </c>
      <c r="J7" s="474" t="e">
        <f t="shared" ref="J7:J38" si="7">B7+D7+F7+H7</f>
        <v>#REF!</v>
      </c>
      <c r="K7" s="471">
        <v>0</v>
      </c>
      <c r="L7" s="528">
        <f>'Levy Budget 2020'!AF8</f>
        <v>40</v>
      </c>
      <c r="M7" s="464" t="e">
        <f t="shared" si="4"/>
        <v>#REF!</v>
      </c>
      <c r="N7" s="464">
        <f>'Levy Budget 2020'!AD8</f>
        <v>1993.2643748455646</v>
      </c>
      <c r="O7" s="464" t="e">
        <f t="shared" si="6"/>
        <v>#REF!</v>
      </c>
      <c r="P7" s="528">
        <f>'Levy Budget 2020'!AH8</f>
        <v>5478.2883965488845</v>
      </c>
      <c r="Q7" s="464" t="e">
        <f t="shared" si="5"/>
        <v>#REF!</v>
      </c>
    </row>
    <row r="8" spans="1:17">
      <c r="A8" s="473" t="s">
        <v>157</v>
      </c>
      <c r="B8" t="e">
        <f>#REF!</f>
        <v>#REF!</v>
      </c>
      <c r="C8" s="464" t="e">
        <f t="shared" si="0"/>
        <v>#REF!</v>
      </c>
      <c r="D8" s="474" t="e">
        <f>#REF!</f>
        <v>#REF!</v>
      </c>
      <c r="E8" s="464" t="e">
        <f t="shared" si="1"/>
        <v>#REF!</v>
      </c>
      <c r="F8" s="474" t="e">
        <f>#REF!</f>
        <v>#REF!</v>
      </c>
      <c r="G8" s="464" t="e">
        <f t="shared" si="2"/>
        <v>#REF!</v>
      </c>
      <c r="H8" s="474" t="e">
        <f>#REF!</f>
        <v>#REF!</v>
      </c>
      <c r="I8" s="464" t="e">
        <f t="shared" si="3"/>
        <v>#REF!</v>
      </c>
      <c r="J8" s="474" t="e">
        <f t="shared" si="7"/>
        <v>#REF!</v>
      </c>
      <c r="K8" s="471">
        <v>0</v>
      </c>
      <c r="L8" s="528">
        <f>'Levy Budget 2020'!AF9</f>
        <v>29.853105806770447</v>
      </c>
      <c r="M8" s="464" t="e">
        <f t="shared" si="4"/>
        <v>#REF!</v>
      </c>
      <c r="N8" s="464">
        <f>'Levy Budget 2020'!AD9</f>
        <v>730.35641215715339</v>
      </c>
      <c r="O8" s="464" t="e">
        <f t="shared" si="6"/>
        <v>#REF!</v>
      </c>
      <c r="P8" s="528">
        <f>'Levy Budget 2020'!AH9</f>
        <v>2022.5083961452926</v>
      </c>
      <c r="Q8" s="464" t="e">
        <f t="shared" si="5"/>
        <v>#REF!</v>
      </c>
    </row>
    <row r="9" spans="1:17">
      <c r="A9" s="470">
        <v>101</v>
      </c>
      <c r="B9" t="e">
        <f>#REF!</f>
        <v>#REF!</v>
      </c>
      <c r="C9" s="464" t="e">
        <f t="shared" si="0"/>
        <v>#REF!</v>
      </c>
      <c r="D9" s="474" t="e">
        <f>#REF!</f>
        <v>#REF!</v>
      </c>
      <c r="E9" s="464" t="e">
        <f t="shared" si="1"/>
        <v>#REF!</v>
      </c>
      <c r="F9" s="474" t="e">
        <f>#REF!</f>
        <v>#REF!</v>
      </c>
      <c r="G9" s="464" t="e">
        <f t="shared" si="2"/>
        <v>#REF!</v>
      </c>
      <c r="H9" s="474" t="e">
        <f>#REF!</f>
        <v>#REF!</v>
      </c>
      <c r="I9" s="464" t="e">
        <f t="shared" si="3"/>
        <v>#REF!</v>
      </c>
      <c r="J9" s="474" t="e">
        <f t="shared" si="7"/>
        <v>#REF!</v>
      </c>
      <c r="K9" s="471">
        <v>0</v>
      </c>
      <c r="L9" s="528">
        <f>'Levy Budget 2020'!AF10</f>
        <v>40</v>
      </c>
      <c r="M9" s="464" t="e">
        <f t="shared" si="4"/>
        <v>#REF!</v>
      </c>
      <c r="N9" s="464">
        <f>'Levy Budget 2020'!AD10</f>
        <v>2084.5589263652087</v>
      </c>
      <c r="O9" s="464" t="e">
        <f t="shared" si="6"/>
        <v>#REF!</v>
      </c>
      <c r="P9" s="528">
        <f>'Levy Budget 2020'!AH10</f>
        <v>5727.3703078411991</v>
      </c>
      <c r="Q9" s="464" t="e">
        <f t="shared" si="5"/>
        <v>#REF!</v>
      </c>
    </row>
    <row r="10" spans="1:17">
      <c r="A10" s="470">
        <v>102</v>
      </c>
      <c r="B10" t="e">
        <f>#REF!</f>
        <v>#REF!</v>
      </c>
      <c r="C10" s="464" t="e">
        <f t="shared" si="0"/>
        <v>#REF!</v>
      </c>
      <c r="D10" s="474" t="e">
        <f>#REF!</f>
        <v>#REF!</v>
      </c>
      <c r="E10" s="464" t="e">
        <f t="shared" si="1"/>
        <v>#REF!</v>
      </c>
      <c r="F10" s="474" t="e">
        <f>#REF!</f>
        <v>#REF!</v>
      </c>
      <c r="G10" s="464" t="e">
        <f t="shared" si="2"/>
        <v>#REF!</v>
      </c>
      <c r="H10" s="474" t="e">
        <f>#REF!</f>
        <v>#REF!</v>
      </c>
      <c r="I10" s="464" t="e">
        <f t="shared" si="3"/>
        <v>#REF!</v>
      </c>
      <c r="J10" s="474" t="e">
        <f t="shared" si="7"/>
        <v>#REF!</v>
      </c>
      <c r="K10" s="529">
        <f>154*1.1</f>
        <v>169.4</v>
      </c>
      <c r="L10" s="528">
        <f>'Levy Budget 2020'!AF11</f>
        <v>40</v>
      </c>
      <c r="M10" s="464" t="e">
        <f t="shared" si="4"/>
        <v>#REF!</v>
      </c>
      <c r="N10" s="464">
        <f>'Levy Budget 2020'!AD11</f>
        <v>1749.8122374598465</v>
      </c>
      <c r="O10" s="464" t="e">
        <f t="shared" si="6"/>
        <v>#REF!</v>
      </c>
      <c r="P10" s="528">
        <f>'Levy Budget 2020'!AH11</f>
        <v>4983.4699664360423</v>
      </c>
      <c r="Q10" s="464" t="e">
        <f t="shared" si="5"/>
        <v>#REF!</v>
      </c>
    </row>
    <row r="11" spans="1:17">
      <c r="A11" s="470">
        <v>103</v>
      </c>
      <c r="B11" t="e">
        <f>#REF!</f>
        <v>#REF!</v>
      </c>
      <c r="C11" s="464" t="e">
        <f t="shared" si="0"/>
        <v>#REF!</v>
      </c>
      <c r="D11" s="474" t="e">
        <f>#REF!</f>
        <v>#REF!</v>
      </c>
      <c r="E11" s="464" t="e">
        <f t="shared" si="1"/>
        <v>#REF!</v>
      </c>
      <c r="F11" s="474" t="e">
        <f>#REF!</f>
        <v>#REF!</v>
      </c>
      <c r="G11" s="464" t="e">
        <f t="shared" si="2"/>
        <v>#REF!</v>
      </c>
      <c r="H11" s="474" t="e">
        <f>#REF!</f>
        <v>#REF!</v>
      </c>
      <c r="I11" s="464" t="e">
        <f t="shared" si="3"/>
        <v>#REF!</v>
      </c>
      <c r="J11" s="474" t="e">
        <f t="shared" si="7"/>
        <v>#REF!</v>
      </c>
      <c r="K11" s="471">
        <v>0</v>
      </c>
      <c r="L11" s="528">
        <f>'Levy Budget 2020'!AF12</f>
        <v>40</v>
      </c>
      <c r="M11" s="464" t="e">
        <f t="shared" si="4"/>
        <v>#REF!</v>
      </c>
      <c r="N11" s="464">
        <f>'Levy Budget 2020'!AD12</f>
        <v>2449.7371324437854</v>
      </c>
      <c r="O11" s="464" t="e">
        <f t="shared" si="6"/>
        <v>#REF!</v>
      </c>
      <c r="P11" s="528">
        <f>'Levy Budget 2020'!AH12</f>
        <v>6723.6979530104609</v>
      </c>
      <c r="Q11" s="464" t="e">
        <f t="shared" si="5"/>
        <v>#REF!</v>
      </c>
    </row>
    <row r="12" spans="1:17">
      <c r="A12" s="470">
        <v>104</v>
      </c>
      <c r="B12" t="e">
        <f>#REF!</f>
        <v>#REF!</v>
      </c>
      <c r="C12" s="464" t="e">
        <f t="shared" si="0"/>
        <v>#REF!</v>
      </c>
      <c r="D12" s="474" t="e">
        <f>#REF!</f>
        <v>#REF!</v>
      </c>
      <c r="E12" s="464" t="e">
        <f t="shared" si="1"/>
        <v>#REF!</v>
      </c>
      <c r="F12" s="474" t="e">
        <f>#REF!</f>
        <v>#REF!</v>
      </c>
      <c r="G12" s="464" t="e">
        <f t="shared" si="2"/>
        <v>#REF!</v>
      </c>
      <c r="H12" s="474" t="e">
        <f>#REF!</f>
        <v>#REF!</v>
      </c>
      <c r="I12" s="464" t="e">
        <f t="shared" si="3"/>
        <v>#REF!</v>
      </c>
      <c r="J12" s="474" t="e">
        <f t="shared" si="7"/>
        <v>#REF!</v>
      </c>
      <c r="K12" s="471">
        <v>0</v>
      </c>
      <c r="L12" s="528">
        <f>'Levy Budget 2020'!AF13</f>
        <v>40</v>
      </c>
      <c r="M12" s="464" t="e">
        <f t="shared" si="4"/>
        <v>#REF!</v>
      </c>
      <c r="N12" s="464">
        <f>'Levy Budget 2020'!AD13</f>
        <v>2236.7165122312822</v>
      </c>
      <c r="O12" s="464" t="e">
        <f t="shared" si="6"/>
        <v>#REF!</v>
      </c>
      <c r="P12" s="528">
        <f>'Levy Budget 2020'!AH13</f>
        <v>6142.5068266617254</v>
      </c>
      <c r="Q12" s="464" t="e">
        <f t="shared" si="5"/>
        <v>#REF!</v>
      </c>
    </row>
    <row r="13" spans="1:17">
      <c r="A13" s="470">
        <v>105</v>
      </c>
      <c r="B13" t="e">
        <f>#REF!</f>
        <v>#REF!</v>
      </c>
      <c r="C13" s="464" t="e">
        <f t="shared" si="0"/>
        <v>#REF!</v>
      </c>
      <c r="D13" s="474" t="e">
        <f>#REF!</f>
        <v>#REF!</v>
      </c>
      <c r="E13" s="464" t="e">
        <f t="shared" si="1"/>
        <v>#REF!</v>
      </c>
      <c r="F13" s="474" t="e">
        <f>#REF!</f>
        <v>#REF!</v>
      </c>
      <c r="G13" s="464" t="e">
        <f t="shared" si="2"/>
        <v>#REF!</v>
      </c>
      <c r="H13" s="474" t="e">
        <f>#REF!</f>
        <v>#REF!</v>
      </c>
      <c r="I13" s="464" t="e">
        <f t="shared" si="3"/>
        <v>#REF!</v>
      </c>
      <c r="J13" s="474" t="e">
        <f t="shared" si="7"/>
        <v>#REF!</v>
      </c>
      <c r="K13" s="471">
        <v>0</v>
      </c>
      <c r="L13" s="528">
        <f>'Levy Budget 2020'!AF14</f>
        <v>40</v>
      </c>
      <c r="M13" s="464" t="e">
        <f t="shared" si="4"/>
        <v>#REF!</v>
      </c>
      <c r="N13" s="464">
        <f>'Levy Budget 2020'!AD14</f>
        <v>973.80854954287122</v>
      </c>
      <c r="O13" s="464" t="e">
        <f t="shared" si="6"/>
        <v>#REF!</v>
      </c>
      <c r="P13" s="528">
        <f>'Levy Budget 2020'!AH14</f>
        <v>2696.8737204513636</v>
      </c>
      <c r="Q13" s="464" t="e">
        <f t="shared" si="5"/>
        <v>#REF!</v>
      </c>
    </row>
    <row r="14" spans="1:17">
      <c r="A14" s="470">
        <v>106</v>
      </c>
      <c r="B14" t="e">
        <f>#REF!</f>
        <v>#REF!</v>
      </c>
      <c r="C14" s="464" t="e">
        <f t="shared" si="0"/>
        <v>#REF!</v>
      </c>
      <c r="D14" s="474" t="e">
        <f>#REF!</f>
        <v>#REF!</v>
      </c>
      <c r="E14" s="464" t="e">
        <f t="shared" si="1"/>
        <v>#REF!</v>
      </c>
      <c r="F14" s="474" t="e">
        <f>#REF!</f>
        <v>#REF!</v>
      </c>
      <c r="G14" s="464" t="e">
        <f t="shared" si="2"/>
        <v>#REF!</v>
      </c>
      <c r="H14" s="474" t="e">
        <f>#REF!</f>
        <v>#REF!</v>
      </c>
      <c r="I14" s="464" t="e">
        <f t="shared" si="3"/>
        <v>#REF!</v>
      </c>
      <c r="J14" s="474" t="e">
        <f t="shared" si="7"/>
        <v>#REF!</v>
      </c>
      <c r="K14" s="471">
        <v>0</v>
      </c>
      <c r="L14" s="528">
        <f>'Levy Budget 2020'!AF15</f>
        <v>40</v>
      </c>
      <c r="M14" s="464" t="e">
        <f t="shared" si="4"/>
        <v>#REF!</v>
      </c>
      <c r="N14" s="464">
        <f>'Levy Budget 2020'!AD15</f>
        <v>958.59279095626368</v>
      </c>
      <c r="O14" s="464" t="e">
        <f t="shared" si="6"/>
        <v>#REF!</v>
      </c>
      <c r="P14" s="528">
        <f>'Levy Budget 2020'!AH15</f>
        <v>2655.3600685693104</v>
      </c>
      <c r="Q14" s="464" t="e">
        <f t="shared" si="5"/>
        <v>#REF!</v>
      </c>
    </row>
    <row r="15" spans="1:17">
      <c r="A15" s="470">
        <v>201</v>
      </c>
      <c r="B15" t="e">
        <f>#REF!</f>
        <v>#REF!</v>
      </c>
      <c r="C15" s="464" t="e">
        <f t="shared" si="0"/>
        <v>#REF!</v>
      </c>
      <c r="D15" s="474" t="e">
        <f>#REF!</f>
        <v>#REF!</v>
      </c>
      <c r="E15" s="464" t="e">
        <f t="shared" si="1"/>
        <v>#REF!</v>
      </c>
      <c r="F15" s="474" t="e">
        <f>#REF!</f>
        <v>#REF!</v>
      </c>
      <c r="G15" s="464" t="e">
        <f t="shared" si="2"/>
        <v>#REF!</v>
      </c>
      <c r="H15" s="474" t="e">
        <f>#REF!</f>
        <v>#REF!</v>
      </c>
      <c r="I15" s="464" t="e">
        <f t="shared" si="3"/>
        <v>#REF!</v>
      </c>
      <c r="J15" s="474" t="e">
        <f t="shared" si="7"/>
        <v>#REF!</v>
      </c>
      <c r="K15" s="471">
        <v>0</v>
      </c>
      <c r="L15" s="528">
        <f>'Levy Budget 2020'!AF16</f>
        <v>40</v>
      </c>
      <c r="M15" s="464" t="e">
        <f t="shared" si="4"/>
        <v>#REF!</v>
      </c>
      <c r="N15" s="464">
        <f>'Levy Budget 2020'!AD16</f>
        <v>2175.8534778848525</v>
      </c>
      <c r="O15" s="464" t="e">
        <f t="shared" si="6"/>
        <v>#REF!</v>
      </c>
      <c r="P15" s="528">
        <f>'Levy Budget 2020'!AH16</f>
        <v>5976.4522191335136</v>
      </c>
      <c r="Q15" s="464" t="e">
        <f t="shared" si="5"/>
        <v>#REF!</v>
      </c>
    </row>
    <row r="16" spans="1:17">
      <c r="A16" s="470">
        <v>202</v>
      </c>
      <c r="B16" t="e">
        <f>#REF!</f>
        <v>#REF!</v>
      </c>
      <c r="C16" s="464" t="e">
        <f t="shared" si="0"/>
        <v>#REF!</v>
      </c>
      <c r="D16" s="474" t="e">
        <f>#REF!</f>
        <v>#REF!</v>
      </c>
      <c r="E16" s="464" t="e">
        <f t="shared" si="1"/>
        <v>#REF!</v>
      </c>
      <c r="F16" s="474" t="e">
        <f>#REF!</f>
        <v>#REF!</v>
      </c>
      <c r="G16" s="464" t="e">
        <f t="shared" si="2"/>
        <v>#REF!</v>
      </c>
      <c r="H16" s="474" t="e">
        <f>#REF!</f>
        <v>#REF!</v>
      </c>
      <c r="I16" s="464" t="e">
        <f t="shared" si="3"/>
        <v>#REF!</v>
      </c>
      <c r="J16" s="474" t="e">
        <f t="shared" si="7"/>
        <v>#REF!</v>
      </c>
      <c r="K16" s="471">
        <v>0</v>
      </c>
      <c r="L16" s="528">
        <f>'Levy Budget 2020'!AF17</f>
        <v>40</v>
      </c>
      <c r="M16" s="464" t="e">
        <f t="shared" si="4"/>
        <v>#REF!</v>
      </c>
      <c r="N16" s="464">
        <f>'Levy Budget 2020'!AD17</f>
        <v>1749.8122374598465</v>
      </c>
      <c r="O16" s="464" t="e">
        <f t="shared" si="6"/>
        <v>#REF!</v>
      </c>
      <c r="P16" s="528">
        <f>'Levy Budget 2020'!AH17</f>
        <v>4814.0699664360427</v>
      </c>
      <c r="Q16" s="464" t="e">
        <f t="shared" si="5"/>
        <v>#REF!</v>
      </c>
    </row>
    <row r="17" spans="1:17">
      <c r="A17" s="470">
        <v>203</v>
      </c>
      <c r="B17" t="e">
        <f>#REF!</f>
        <v>#REF!</v>
      </c>
      <c r="C17" s="464" t="e">
        <f t="shared" si="0"/>
        <v>#REF!</v>
      </c>
      <c r="D17" s="474" t="e">
        <f>#REF!</f>
        <v>#REF!</v>
      </c>
      <c r="E17" s="464" t="e">
        <f t="shared" si="1"/>
        <v>#REF!</v>
      </c>
      <c r="F17" s="474" t="e">
        <f>#REF!</f>
        <v>#REF!</v>
      </c>
      <c r="G17" s="464" t="e">
        <f t="shared" si="2"/>
        <v>#REF!</v>
      </c>
      <c r="H17" s="474" t="e">
        <f>#REF!</f>
        <v>#REF!</v>
      </c>
      <c r="I17" s="464" t="e">
        <f t="shared" si="3"/>
        <v>#REF!</v>
      </c>
      <c r="J17" s="474" t="e">
        <f t="shared" si="7"/>
        <v>#REF!</v>
      </c>
      <c r="K17" s="529">
        <f>154*1.1</f>
        <v>169.4</v>
      </c>
      <c r="L17" s="528">
        <f>'Levy Budget 2020'!AF18</f>
        <v>40</v>
      </c>
      <c r="M17" s="464" t="e">
        <f t="shared" si="4"/>
        <v>#REF!</v>
      </c>
      <c r="N17" s="464">
        <f>'Levy Budget 2020'!AD18</f>
        <v>2449.7371324437854</v>
      </c>
      <c r="O17" s="464" t="e">
        <f t="shared" si="6"/>
        <v>#REF!</v>
      </c>
      <c r="P17" s="528">
        <f>'Levy Budget 2020'!AH18</f>
        <v>6893.0979530104605</v>
      </c>
      <c r="Q17" s="464" t="e">
        <f t="shared" si="5"/>
        <v>#REF!</v>
      </c>
    </row>
    <row r="18" spans="1:17">
      <c r="A18" s="470">
        <v>204</v>
      </c>
      <c r="B18" t="e">
        <f>#REF!</f>
        <v>#REF!</v>
      </c>
      <c r="C18" s="464" t="e">
        <f t="shared" si="0"/>
        <v>#REF!</v>
      </c>
      <c r="D18" s="474" t="e">
        <f>#REF!</f>
        <v>#REF!</v>
      </c>
      <c r="E18" s="464" t="e">
        <f t="shared" si="1"/>
        <v>#REF!</v>
      </c>
      <c r="F18" s="474" t="e">
        <f>#REF!</f>
        <v>#REF!</v>
      </c>
      <c r="G18" s="464" t="e">
        <f t="shared" si="2"/>
        <v>#REF!</v>
      </c>
      <c r="H18" s="474" t="e">
        <f>#REF!</f>
        <v>#REF!</v>
      </c>
      <c r="I18" s="464" t="e">
        <f t="shared" si="3"/>
        <v>#REF!</v>
      </c>
      <c r="J18" s="474" t="e">
        <f t="shared" si="7"/>
        <v>#REF!</v>
      </c>
      <c r="K18" s="471">
        <v>0</v>
      </c>
      <c r="L18" s="528">
        <f>'Levy Budget 2020'!AF19</f>
        <v>40</v>
      </c>
      <c r="M18" s="464" t="e">
        <f t="shared" si="4"/>
        <v>#REF!</v>
      </c>
      <c r="N18" s="464">
        <f>'Levy Budget 2020'!AD19</f>
        <v>2951.8571658018286</v>
      </c>
      <c r="O18" s="464" t="e">
        <f t="shared" si="6"/>
        <v>#REF!</v>
      </c>
      <c r="P18" s="528">
        <f>'Levy Budget 2020'!AH19</f>
        <v>8093.6484651181963</v>
      </c>
      <c r="Q18" s="464" t="e">
        <f t="shared" si="5"/>
        <v>#REF!</v>
      </c>
    </row>
    <row r="19" spans="1:17">
      <c r="A19" s="470">
        <v>205</v>
      </c>
      <c r="B19" t="e">
        <f>#REF!</f>
        <v>#REF!</v>
      </c>
      <c r="C19" s="464" t="e">
        <f t="shared" si="0"/>
        <v>#REF!</v>
      </c>
      <c r="D19" s="474" t="e">
        <f>#REF!</f>
        <v>#REF!</v>
      </c>
      <c r="E19" s="464" t="e">
        <f t="shared" si="1"/>
        <v>#REF!</v>
      </c>
      <c r="F19" s="474" t="e">
        <f>#REF!</f>
        <v>#REF!</v>
      </c>
      <c r="G19" s="464" t="e">
        <f t="shared" si="2"/>
        <v>#REF!</v>
      </c>
      <c r="H19" s="474" t="e">
        <f>#REF!</f>
        <v>#REF!</v>
      </c>
      <c r="I19" s="464" t="e">
        <f t="shared" si="3"/>
        <v>#REF!</v>
      </c>
      <c r="J19" s="474" t="e">
        <f t="shared" si="7"/>
        <v>#REF!</v>
      </c>
      <c r="K19" s="471">
        <v>0</v>
      </c>
      <c r="L19" s="528">
        <f>'Levy Budget 2020'!AF20</f>
        <v>40</v>
      </c>
      <c r="M19" s="464" t="e">
        <f t="shared" si="4"/>
        <v>#REF!</v>
      </c>
      <c r="N19" s="464">
        <f>'Levy Budget 2020'!AD20</f>
        <v>973.80854954287122</v>
      </c>
      <c r="O19" s="464" t="e">
        <f t="shared" si="6"/>
        <v>#REF!</v>
      </c>
      <c r="P19" s="528">
        <f>'Levy Budget 2020'!AH20</f>
        <v>2696.8737204513636</v>
      </c>
      <c r="Q19" s="464" t="e">
        <f t="shared" si="5"/>
        <v>#REF!</v>
      </c>
    </row>
    <row r="20" spans="1:17">
      <c r="A20" s="470">
        <v>206</v>
      </c>
      <c r="B20" t="e">
        <f>#REF!</f>
        <v>#REF!</v>
      </c>
      <c r="C20" s="464" t="e">
        <f t="shared" si="0"/>
        <v>#REF!</v>
      </c>
      <c r="D20" s="474" t="e">
        <f>#REF!</f>
        <v>#REF!</v>
      </c>
      <c r="E20" s="464" t="e">
        <f t="shared" si="1"/>
        <v>#REF!</v>
      </c>
      <c r="F20" s="474" t="e">
        <f>#REF!</f>
        <v>#REF!</v>
      </c>
      <c r="G20" s="464" t="e">
        <f t="shared" si="2"/>
        <v>#REF!</v>
      </c>
      <c r="H20" s="474" t="e">
        <f>#REF!</f>
        <v>#REF!</v>
      </c>
      <c r="I20" s="464" t="e">
        <f t="shared" si="3"/>
        <v>#REF!</v>
      </c>
      <c r="J20" s="474" t="e">
        <f t="shared" si="7"/>
        <v>#REF!</v>
      </c>
      <c r="K20" s="471">
        <v>0</v>
      </c>
      <c r="L20" s="528">
        <f>'Levy Budget 2020'!AF21</f>
        <v>37.325563145539903</v>
      </c>
      <c r="M20" s="464" t="e">
        <f t="shared" si="4"/>
        <v>#REF!</v>
      </c>
      <c r="N20" s="464">
        <f>'Levy Budget 2020'!AD21</f>
        <v>867.29823943661961</v>
      </c>
      <c r="O20" s="464" t="e">
        <f t="shared" si="6"/>
        <v>#REF!</v>
      </c>
      <c r="P20" s="528">
        <f>'Levy Budget 2020'!AH21</f>
        <v>2403.6037204225349</v>
      </c>
      <c r="Q20" s="464" t="e">
        <f t="shared" si="5"/>
        <v>#REF!</v>
      </c>
    </row>
    <row r="21" spans="1:17">
      <c r="A21" s="470">
        <v>301</v>
      </c>
      <c r="B21" t="e">
        <f>#REF!</f>
        <v>#REF!</v>
      </c>
      <c r="C21" s="464" t="e">
        <f t="shared" si="0"/>
        <v>#REF!</v>
      </c>
      <c r="D21" s="474" t="e">
        <f>#REF!</f>
        <v>#REF!</v>
      </c>
      <c r="E21" s="464" t="e">
        <f t="shared" si="1"/>
        <v>#REF!</v>
      </c>
      <c r="F21" s="474" t="e">
        <f>#REF!</f>
        <v>#REF!</v>
      </c>
      <c r="G21" s="464" t="e">
        <f t="shared" si="2"/>
        <v>#REF!</v>
      </c>
      <c r="H21" s="474" t="e">
        <f>#REF!</f>
        <v>#REF!</v>
      </c>
      <c r="I21" s="464" t="e">
        <f t="shared" si="3"/>
        <v>#REF!</v>
      </c>
      <c r="J21" s="474" t="e">
        <f t="shared" si="7"/>
        <v>#REF!</v>
      </c>
      <c r="K21" s="471">
        <v>0</v>
      </c>
      <c r="L21" s="528">
        <f>'Levy Budget 2020'!AF22</f>
        <v>40</v>
      </c>
      <c r="M21" s="464" t="e">
        <f t="shared" si="4"/>
        <v>#REF!</v>
      </c>
      <c r="N21" s="464">
        <f>'Levy Budget 2020'!AD22</f>
        <v>2175.8534778848525</v>
      </c>
      <c r="O21" s="464" t="e">
        <f t="shared" si="6"/>
        <v>#REF!</v>
      </c>
      <c r="P21" s="528">
        <f>'Levy Budget 2020'!AH22</f>
        <v>5976.4522191335136</v>
      </c>
      <c r="Q21" s="464" t="e">
        <f t="shared" si="5"/>
        <v>#REF!</v>
      </c>
    </row>
    <row r="22" spans="1:17">
      <c r="A22" s="470">
        <v>302</v>
      </c>
      <c r="B22" t="e">
        <f>#REF!</f>
        <v>#REF!</v>
      </c>
      <c r="C22" s="464" t="e">
        <f t="shared" si="0"/>
        <v>#REF!</v>
      </c>
      <c r="D22" s="474" t="e">
        <f>#REF!</f>
        <v>#REF!</v>
      </c>
      <c r="E22" s="464" t="e">
        <f t="shared" si="1"/>
        <v>#REF!</v>
      </c>
      <c r="F22" s="474" t="e">
        <f>#REF!</f>
        <v>#REF!</v>
      </c>
      <c r="G22" s="464" t="e">
        <f t="shared" si="2"/>
        <v>#REF!</v>
      </c>
      <c r="H22" s="474" t="e">
        <f>#REF!</f>
        <v>#REF!</v>
      </c>
      <c r="I22" s="464" t="e">
        <f t="shared" si="3"/>
        <v>#REF!</v>
      </c>
      <c r="J22" s="474" t="e">
        <f t="shared" si="7"/>
        <v>#REF!</v>
      </c>
      <c r="K22" s="471">
        <v>0</v>
      </c>
      <c r="L22" s="528">
        <f>'Levy Budget 2020'!AF23</f>
        <v>40</v>
      </c>
      <c r="M22" s="464" t="e">
        <f t="shared" si="4"/>
        <v>#REF!</v>
      </c>
      <c r="N22" s="464">
        <f>'Levy Budget 2020'!AD23</f>
        <v>1749.8122374598465</v>
      </c>
      <c r="O22" s="464" t="e">
        <f t="shared" si="6"/>
        <v>#REF!</v>
      </c>
      <c r="P22" s="528">
        <f>'Levy Budget 2020'!AH23</f>
        <v>4814.0699664360427</v>
      </c>
      <c r="Q22" s="464" t="e">
        <f t="shared" si="5"/>
        <v>#REF!</v>
      </c>
    </row>
    <row r="23" spans="1:17">
      <c r="A23" s="470">
        <v>303</v>
      </c>
      <c r="B23" t="e">
        <f>#REF!</f>
        <v>#REF!</v>
      </c>
      <c r="C23" s="464" t="e">
        <f t="shared" si="0"/>
        <v>#REF!</v>
      </c>
      <c r="D23" s="474" t="e">
        <f>#REF!</f>
        <v>#REF!</v>
      </c>
      <c r="E23" s="464" t="e">
        <f t="shared" si="1"/>
        <v>#REF!</v>
      </c>
      <c r="F23" s="474" t="e">
        <f>#REF!</f>
        <v>#REF!</v>
      </c>
      <c r="G23" s="464" t="e">
        <f t="shared" si="2"/>
        <v>#REF!</v>
      </c>
      <c r="H23" s="474" t="e">
        <f>#REF!</f>
        <v>#REF!</v>
      </c>
      <c r="I23" s="464" t="e">
        <f t="shared" si="3"/>
        <v>#REF!</v>
      </c>
      <c r="J23" s="474" t="e">
        <f t="shared" si="7"/>
        <v>#REF!</v>
      </c>
      <c r="K23" s="471">
        <v>0</v>
      </c>
      <c r="L23" s="528">
        <f>'Levy Budget 2020'!AF24</f>
        <v>40</v>
      </c>
      <c r="M23" s="464" t="e">
        <f t="shared" si="4"/>
        <v>#REF!</v>
      </c>
      <c r="N23" s="464">
        <f>'Levy Budget 2020'!AD24</f>
        <v>2906.2098900420065</v>
      </c>
      <c r="O23" s="464" t="e">
        <f t="shared" si="6"/>
        <v>#REF!</v>
      </c>
      <c r="P23" s="528">
        <f>'Levy Budget 2020'!AH24</f>
        <v>7969.1075094720381</v>
      </c>
      <c r="Q23" s="464" t="e">
        <f t="shared" si="5"/>
        <v>#REF!</v>
      </c>
    </row>
    <row r="24" spans="1:17">
      <c r="A24" s="470">
        <v>304</v>
      </c>
      <c r="B24" t="e">
        <f>#REF!</f>
        <v>#REF!</v>
      </c>
      <c r="C24" s="464" t="e">
        <f t="shared" si="0"/>
        <v>#REF!</v>
      </c>
      <c r="D24" s="474" t="e">
        <f>#REF!</f>
        <v>#REF!</v>
      </c>
      <c r="E24" s="464" t="e">
        <f t="shared" si="1"/>
        <v>#REF!</v>
      </c>
      <c r="F24" s="474" t="e">
        <f>#REF!</f>
        <v>#REF!</v>
      </c>
      <c r="G24" s="464" t="e">
        <f t="shared" si="2"/>
        <v>#REF!</v>
      </c>
      <c r="H24" s="474" t="e">
        <f>#REF!</f>
        <v>#REF!</v>
      </c>
      <c r="I24" s="464" t="e">
        <f t="shared" si="3"/>
        <v>#REF!</v>
      </c>
      <c r="J24" s="474" t="e">
        <f t="shared" si="7"/>
        <v>#REF!</v>
      </c>
      <c r="K24" s="471">
        <v>0</v>
      </c>
      <c r="L24" s="528">
        <f>'Levy Budget 2020'!AF25</f>
        <v>40</v>
      </c>
      <c r="M24" s="464" t="e">
        <f t="shared" si="4"/>
        <v>#REF!</v>
      </c>
      <c r="N24" s="464">
        <f>'Levy Budget 2020'!AD25</f>
        <v>2145.4219607116379</v>
      </c>
      <c r="O24" s="464" t="e">
        <f t="shared" si="6"/>
        <v>#REF!</v>
      </c>
      <c r="P24" s="528">
        <f>'Levy Budget 2020'!AH25</f>
        <v>5893.4249153694091</v>
      </c>
      <c r="Q24" s="464" t="e">
        <f t="shared" si="5"/>
        <v>#REF!</v>
      </c>
    </row>
    <row r="25" spans="1:17">
      <c r="A25" s="470">
        <v>305</v>
      </c>
      <c r="B25" t="e">
        <f>#REF!</f>
        <v>#REF!</v>
      </c>
      <c r="C25" s="464" t="e">
        <f t="shared" si="0"/>
        <v>#REF!</v>
      </c>
      <c r="D25" s="474" t="e">
        <f>#REF!</f>
        <v>#REF!</v>
      </c>
      <c r="E25" s="464" t="e">
        <f t="shared" si="1"/>
        <v>#REF!</v>
      </c>
      <c r="F25" s="474" t="e">
        <f>#REF!</f>
        <v>#REF!</v>
      </c>
      <c r="G25" s="464" t="e">
        <f t="shared" si="2"/>
        <v>#REF!</v>
      </c>
      <c r="H25" s="474" t="e">
        <f>#REF!</f>
        <v>#REF!</v>
      </c>
      <c r="I25" s="464" t="e">
        <f t="shared" si="3"/>
        <v>#REF!</v>
      </c>
      <c r="J25" s="474" t="e">
        <f t="shared" si="7"/>
        <v>#REF!</v>
      </c>
      <c r="K25" s="471">
        <v>0</v>
      </c>
      <c r="L25" s="528">
        <f>'Levy Budget 2020'!AF26</f>
        <v>38.155836183180966</v>
      </c>
      <c r="M25" s="464" t="e">
        <f t="shared" si="4"/>
        <v>#REF!</v>
      </c>
      <c r="N25" s="464">
        <f>'Levy Budget 2020'!AD26</f>
        <v>882.51399802322703</v>
      </c>
      <c r="O25" s="464" t="e">
        <f t="shared" si="6"/>
        <v>#REF!</v>
      </c>
      <c r="P25" s="528">
        <f>'Levy Budget 2020'!AH26</f>
        <v>2445.947645342229</v>
      </c>
      <c r="Q25" s="464" t="e">
        <f t="shared" si="5"/>
        <v>#REF!</v>
      </c>
    </row>
    <row r="26" spans="1:17">
      <c r="A26" s="470">
        <v>306</v>
      </c>
      <c r="B26" t="e">
        <f>#REF!</f>
        <v>#REF!</v>
      </c>
      <c r="C26" s="464" t="e">
        <f t="shared" si="0"/>
        <v>#REF!</v>
      </c>
      <c r="D26" s="474" t="e">
        <f>#REF!</f>
        <v>#REF!</v>
      </c>
      <c r="E26" s="464" t="e">
        <f t="shared" si="1"/>
        <v>#REF!</v>
      </c>
      <c r="F26" s="474" t="e">
        <f>#REF!</f>
        <v>#REF!</v>
      </c>
      <c r="G26" s="464" t="e">
        <f t="shared" si="2"/>
        <v>#REF!</v>
      </c>
      <c r="H26" s="474" t="e">
        <f>#REF!</f>
        <v>#REF!</v>
      </c>
      <c r="I26" s="464" t="e">
        <f t="shared" si="3"/>
        <v>#REF!</v>
      </c>
      <c r="J26" s="474" t="e">
        <f t="shared" si="7"/>
        <v>#REF!</v>
      </c>
      <c r="K26" s="471">
        <v>0</v>
      </c>
      <c r="L26" s="528">
        <f>'Levy Budget 2020'!AF27</f>
        <v>40</v>
      </c>
      <c r="M26" s="464" t="e">
        <f t="shared" si="4"/>
        <v>#REF!</v>
      </c>
      <c r="N26" s="464">
        <f>'Levy Budget 2020'!AD27</f>
        <v>958.59279095626368</v>
      </c>
      <c r="O26" s="464" t="e">
        <f t="shared" si="6"/>
        <v>#REF!</v>
      </c>
      <c r="P26" s="528">
        <f>'Levy Budget 2020'!AH27</f>
        <v>2655.3600685693104</v>
      </c>
      <c r="Q26" s="464" t="e">
        <f t="shared" si="5"/>
        <v>#REF!</v>
      </c>
    </row>
    <row r="27" spans="1:17">
      <c r="A27" s="470">
        <v>401</v>
      </c>
      <c r="B27" t="e">
        <f>#REF!</f>
        <v>#REF!</v>
      </c>
      <c r="C27" s="464" t="e">
        <f t="shared" si="0"/>
        <v>#REF!</v>
      </c>
      <c r="D27" s="474" t="e">
        <f>#REF!</f>
        <v>#REF!</v>
      </c>
      <c r="E27" s="464" t="e">
        <f t="shared" si="1"/>
        <v>#REF!</v>
      </c>
      <c r="F27" s="474" t="e">
        <f>#REF!</f>
        <v>#REF!</v>
      </c>
      <c r="G27" s="464" t="e">
        <f t="shared" si="2"/>
        <v>#REF!</v>
      </c>
      <c r="H27" s="474" t="e">
        <f>#REF!</f>
        <v>#REF!</v>
      </c>
      <c r="I27" s="464" t="e">
        <f t="shared" si="3"/>
        <v>#REF!</v>
      </c>
      <c r="J27" s="474" t="e">
        <f t="shared" si="7"/>
        <v>#REF!</v>
      </c>
      <c r="K27" s="471">
        <v>0</v>
      </c>
      <c r="L27" s="528">
        <f>'Levy Budget 2020'!AF28</f>
        <v>40</v>
      </c>
      <c r="M27" s="464" t="e">
        <f t="shared" si="4"/>
        <v>#REF!</v>
      </c>
      <c r="N27" s="464">
        <f>'Levy Budget 2020'!AD28</f>
        <v>2084.5589263652087</v>
      </c>
      <c r="O27" s="464" t="e">
        <f t="shared" si="6"/>
        <v>#REF!</v>
      </c>
      <c r="P27" s="528">
        <f>'Levy Budget 2020'!AH28</f>
        <v>5727.3703078411991</v>
      </c>
      <c r="Q27" s="464" t="e">
        <f t="shared" si="5"/>
        <v>#REF!</v>
      </c>
    </row>
    <row r="28" spans="1:17">
      <c r="A28" s="470">
        <v>402</v>
      </c>
      <c r="B28" t="e">
        <f>#REF!</f>
        <v>#REF!</v>
      </c>
      <c r="C28" s="464" t="e">
        <f t="shared" si="0"/>
        <v>#REF!</v>
      </c>
      <c r="D28" s="474" t="e">
        <f>#REF!</f>
        <v>#REF!</v>
      </c>
      <c r="E28" s="464" t="e">
        <f t="shared" si="1"/>
        <v>#REF!</v>
      </c>
      <c r="F28" s="474" t="e">
        <f>#REF!</f>
        <v>#REF!</v>
      </c>
      <c r="G28" s="464" t="e">
        <f t="shared" si="2"/>
        <v>#REF!</v>
      </c>
      <c r="H28" s="474" t="e">
        <f>#REF!</f>
        <v>#REF!</v>
      </c>
      <c r="I28" s="464" t="e">
        <f t="shared" si="3"/>
        <v>#REF!</v>
      </c>
      <c r="J28" s="474" t="e">
        <f t="shared" si="7"/>
        <v>#REF!</v>
      </c>
      <c r="K28" s="471">
        <v>0</v>
      </c>
      <c r="L28" s="528">
        <f>'Levy Budget 2020'!AF29</f>
        <v>40</v>
      </c>
      <c r="M28" s="464" t="e">
        <f t="shared" si="4"/>
        <v>#REF!</v>
      </c>
      <c r="N28" s="464">
        <f>'Levy Budget 2020'!AD29</f>
        <v>1749.8122374598465</v>
      </c>
      <c r="O28" s="464" t="e">
        <f t="shared" si="6"/>
        <v>#REF!</v>
      </c>
      <c r="P28" s="528">
        <f>'Levy Budget 2020'!AH29</f>
        <v>4814.0699664360427</v>
      </c>
      <c r="Q28" s="464" t="e">
        <f t="shared" si="5"/>
        <v>#REF!</v>
      </c>
    </row>
    <row r="29" spans="1:17">
      <c r="A29" s="470">
        <v>403</v>
      </c>
      <c r="B29" t="e">
        <f>#REF!</f>
        <v>#REF!</v>
      </c>
      <c r="C29" s="464" t="e">
        <f t="shared" si="0"/>
        <v>#REF!</v>
      </c>
      <c r="D29" s="474" t="e">
        <f>#REF!</f>
        <v>#REF!</v>
      </c>
      <c r="E29" s="464" t="e">
        <f t="shared" si="1"/>
        <v>#REF!</v>
      </c>
      <c r="F29" s="474" t="e">
        <f>#REF!</f>
        <v>#REF!</v>
      </c>
      <c r="G29" s="464" t="e">
        <f t="shared" si="2"/>
        <v>#REF!</v>
      </c>
      <c r="H29" s="474" t="e">
        <f>#REF!</f>
        <v>#REF!</v>
      </c>
      <c r="I29" s="464" t="e">
        <f t="shared" si="3"/>
        <v>#REF!</v>
      </c>
      <c r="J29" s="474" t="e">
        <f t="shared" si="7"/>
        <v>#REF!</v>
      </c>
      <c r="K29" s="529">
        <f>154*1.1</f>
        <v>169.4</v>
      </c>
      <c r="L29" s="528">
        <f>'Levy Budget 2020'!AF30</f>
        <v>40</v>
      </c>
      <c r="M29" s="464" t="e">
        <f t="shared" si="4"/>
        <v>#REF!</v>
      </c>
      <c r="N29" s="464">
        <f>'Levy Budget 2020'!AD30</f>
        <v>2449.7371324437854</v>
      </c>
      <c r="O29" s="464" t="e">
        <f t="shared" si="6"/>
        <v>#REF!</v>
      </c>
      <c r="P29" s="528">
        <f>'Levy Budget 2020'!AH30</f>
        <v>6893.0979530104605</v>
      </c>
      <c r="Q29" s="464" t="e">
        <f t="shared" si="5"/>
        <v>#REF!</v>
      </c>
    </row>
    <row r="30" spans="1:17">
      <c r="A30" s="470">
        <v>404</v>
      </c>
      <c r="B30" t="e">
        <f>#REF!</f>
        <v>#REF!</v>
      </c>
      <c r="C30" s="464" t="e">
        <f t="shared" si="0"/>
        <v>#REF!</v>
      </c>
      <c r="D30" s="474" t="e">
        <f>#REF!</f>
        <v>#REF!</v>
      </c>
      <c r="E30" s="464" t="e">
        <f t="shared" si="1"/>
        <v>#REF!</v>
      </c>
      <c r="F30" s="474" t="e">
        <f>#REF!</f>
        <v>#REF!</v>
      </c>
      <c r="G30" s="464" t="e">
        <f t="shared" si="2"/>
        <v>#REF!</v>
      </c>
      <c r="H30" s="474" t="e">
        <f>#REF!</f>
        <v>#REF!</v>
      </c>
      <c r="I30" s="464" t="e">
        <f t="shared" si="3"/>
        <v>#REF!</v>
      </c>
      <c r="J30" s="474" t="e">
        <f t="shared" si="7"/>
        <v>#REF!</v>
      </c>
      <c r="K30" s="471">
        <v>0</v>
      </c>
      <c r="L30" s="528">
        <f>'Levy Budget 2020'!AF31</f>
        <v>40</v>
      </c>
      <c r="M30" s="464" t="e">
        <f t="shared" si="4"/>
        <v>#REF!</v>
      </c>
      <c r="N30" s="464">
        <f>'Levy Budget 2020'!AD31</f>
        <v>2145.4219607116379</v>
      </c>
      <c r="O30" s="464" t="e">
        <f t="shared" si="6"/>
        <v>#REF!</v>
      </c>
      <c r="P30" s="528">
        <f>'Levy Budget 2020'!AH31</f>
        <v>5893.4249153694091</v>
      </c>
      <c r="Q30" s="464" t="e">
        <f t="shared" si="5"/>
        <v>#REF!</v>
      </c>
    </row>
    <row r="31" spans="1:17">
      <c r="A31" s="470">
        <v>405</v>
      </c>
      <c r="B31" t="e">
        <f>#REF!</f>
        <v>#REF!</v>
      </c>
      <c r="C31" s="464" t="e">
        <f t="shared" si="0"/>
        <v>#REF!</v>
      </c>
      <c r="D31" s="474" t="e">
        <f>#REF!</f>
        <v>#REF!</v>
      </c>
      <c r="E31" s="464" t="e">
        <f t="shared" si="1"/>
        <v>#REF!</v>
      </c>
      <c r="F31" s="474" t="e">
        <f>#REF!</f>
        <v>#REF!</v>
      </c>
      <c r="G31" s="464" t="e">
        <f t="shared" si="2"/>
        <v>#REF!</v>
      </c>
      <c r="H31" s="474" t="e">
        <f>#REF!</f>
        <v>#REF!</v>
      </c>
      <c r="I31" s="464" t="e">
        <f t="shared" si="3"/>
        <v>#REF!</v>
      </c>
      <c r="J31" s="474" t="e">
        <f t="shared" si="7"/>
        <v>#REF!</v>
      </c>
      <c r="K31" s="471">
        <v>0</v>
      </c>
      <c r="L31" s="528">
        <f>'Levy Budget 2020'!AF32</f>
        <v>38.155836183180966</v>
      </c>
      <c r="M31" s="464" t="e">
        <f t="shared" si="4"/>
        <v>#REF!</v>
      </c>
      <c r="N31" s="464">
        <f>'Levy Budget 2020'!AD32</f>
        <v>882.51399802322703</v>
      </c>
      <c r="O31" s="464" t="e">
        <f t="shared" si="6"/>
        <v>#REF!</v>
      </c>
      <c r="P31" s="528">
        <f>'Levy Budget 2020'!AH32</f>
        <v>2445.947645342229</v>
      </c>
      <c r="Q31" s="464" t="e">
        <f t="shared" si="5"/>
        <v>#REF!</v>
      </c>
    </row>
    <row r="32" spans="1:17">
      <c r="A32" s="470">
        <v>406</v>
      </c>
      <c r="B32" t="e">
        <f>#REF!</f>
        <v>#REF!</v>
      </c>
      <c r="C32" s="464" t="e">
        <f t="shared" si="0"/>
        <v>#REF!</v>
      </c>
      <c r="D32" s="474" t="e">
        <f>#REF!</f>
        <v>#REF!</v>
      </c>
      <c r="E32" s="464" t="e">
        <f t="shared" si="1"/>
        <v>#REF!</v>
      </c>
      <c r="F32" s="474" t="e">
        <f>#REF!</f>
        <v>#REF!</v>
      </c>
      <c r="G32" s="464" t="e">
        <f t="shared" si="2"/>
        <v>#REF!</v>
      </c>
      <c r="H32" s="474" t="e">
        <f>#REF!</f>
        <v>#REF!</v>
      </c>
      <c r="I32" s="464" t="e">
        <f t="shared" si="3"/>
        <v>#REF!</v>
      </c>
      <c r="J32" s="474" t="e">
        <f t="shared" si="7"/>
        <v>#REF!</v>
      </c>
      <c r="K32" s="471">
        <v>0</v>
      </c>
      <c r="L32" s="528">
        <f>'Levy Budget 2020'!AF33</f>
        <v>40</v>
      </c>
      <c r="M32" s="464" t="e">
        <f t="shared" si="4"/>
        <v>#REF!</v>
      </c>
      <c r="N32" s="464">
        <f>'Levy Budget 2020'!AD33</f>
        <v>958.59279095626368</v>
      </c>
      <c r="O32" s="464" t="e">
        <f t="shared" si="6"/>
        <v>#REF!</v>
      </c>
      <c r="P32" s="528">
        <f>'Levy Budget 2020'!AH33</f>
        <v>2655.3600685693104</v>
      </c>
      <c r="Q32" s="464" t="e">
        <f t="shared" si="5"/>
        <v>#REF!</v>
      </c>
    </row>
    <row r="33" spans="1:17">
      <c r="A33" s="470">
        <v>501</v>
      </c>
      <c r="B33" t="e">
        <f>#REF!</f>
        <v>#REF!</v>
      </c>
      <c r="C33" s="464" t="e">
        <f t="shared" si="0"/>
        <v>#REF!</v>
      </c>
      <c r="D33" s="474" t="e">
        <f>#REF!</f>
        <v>#REF!</v>
      </c>
      <c r="E33" s="464" t="e">
        <f t="shared" si="1"/>
        <v>#REF!</v>
      </c>
      <c r="F33" s="474" t="e">
        <f>#REF!</f>
        <v>#REF!</v>
      </c>
      <c r="G33" s="464" t="e">
        <f t="shared" si="2"/>
        <v>#REF!</v>
      </c>
      <c r="H33" s="474" t="e">
        <f>#REF!</f>
        <v>#REF!</v>
      </c>
      <c r="I33" s="464" t="e">
        <f t="shared" si="3"/>
        <v>#REF!</v>
      </c>
      <c r="J33" s="474" t="e">
        <f t="shared" si="7"/>
        <v>#REF!</v>
      </c>
      <c r="K33" s="529">
        <f>154*1.1</f>
        <v>169.4</v>
      </c>
      <c r="L33" s="528">
        <f>'Levy Budget 2020'!AF34</f>
        <v>40</v>
      </c>
      <c r="M33" s="464" t="e">
        <f t="shared" si="4"/>
        <v>#REF!</v>
      </c>
      <c r="N33" s="464">
        <f>'Levy Budget 2020'!AD34</f>
        <v>2175.8534778848525</v>
      </c>
      <c r="O33" s="464" t="e">
        <f t="shared" si="6"/>
        <v>#REF!</v>
      </c>
      <c r="P33" s="528">
        <f>'Levy Budget 2020'!AH34</f>
        <v>6145.8522191335132</v>
      </c>
      <c r="Q33" s="464" t="e">
        <f t="shared" si="5"/>
        <v>#REF!</v>
      </c>
    </row>
    <row r="34" spans="1:17">
      <c r="A34" s="470">
        <v>502</v>
      </c>
      <c r="B34" t="e">
        <f>#REF!</f>
        <v>#REF!</v>
      </c>
      <c r="C34" s="464" t="e">
        <f t="shared" si="0"/>
        <v>#REF!</v>
      </c>
      <c r="D34" s="474" t="e">
        <f>#REF!</f>
        <v>#REF!</v>
      </c>
      <c r="E34" s="464" t="e">
        <f t="shared" si="1"/>
        <v>#REF!</v>
      </c>
      <c r="F34" s="474" t="e">
        <f>#REF!</f>
        <v>#REF!</v>
      </c>
      <c r="G34" s="464" t="e">
        <f t="shared" si="2"/>
        <v>#REF!</v>
      </c>
      <c r="H34" s="474" t="e">
        <f>#REF!</f>
        <v>#REF!</v>
      </c>
      <c r="I34" s="464" t="e">
        <f t="shared" si="3"/>
        <v>#REF!</v>
      </c>
      <c r="J34" s="474" t="e">
        <f t="shared" si="7"/>
        <v>#REF!</v>
      </c>
      <c r="K34" s="471">
        <v>0</v>
      </c>
      <c r="L34" s="528">
        <f>'Levy Budget 2020'!AF35</f>
        <v>40</v>
      </c>
      <c r="M34" s="464" t="e">
        <f t="shared" si="4"/>
        <v>#REF!</v>
      </c>
      <c r="N34" s="464">
        <f>'Levy Budget 2020'!AD35</f>
        <v>1734.5964788732392</v>
      </c>
      <c r="O34" s="464" t="e">
        <f t="shared" si="6"/>
        <v>#REF!</v>
      </c>
      <c r="P34" s="528">
        <f>'Levy Budget 2020'!AH35</f>
        <v>4772.55631455399</v>
      </c>
      <c r="Q34" s="464" t="e">
        <f t="shared" si="5"/>
        <v>#REF!</v>
      </c>
    </row>
    <row r="35" spans="1:17">
      <c r="A35" s="470">
        <v>503</v>
      </c>
      <c r="B35" t="e">
        <f>#REF!</f>
        <v>#REF!</v>
      </c>
      <c r="C35" s="464" t="e">
        <f t="shared" si="0"/>
        <v>#REF!</v>
      </c>
      <c r="D35" s="474" t="e">
        <f>#REF!</f>
        <v>#REF!</v>
      </c>
      <c r="E35" s="464" t="e">
        <f t="shared" si="1"/>
        <v>#REF!</v>
      </c>
      <c r="F35" s="474" t="e">
        <f>#REF!</f>
        <v>#REF!</v>
      </c>
      <c r="G35" s="464" t="e">
        <f t="shared" si="2"/>
        <v>#REF!</v>
      </c>
      <c r="H35" s="474" t="e">
        <f>#REF!</f>
        <v>#REF!</v>
      </c>
      <c r="I35" s="464" t="e">
        <f t="shared" si="3"/>
        <v>#REF!</v>
      </c>
      <c r="J35" s="474" t="e">
        <f t="shared" si="7"/>
        <v>#REF!</v>
      </c>
      <c r="K35" s="529">
        <f>678.47*1.1</f>
        <v>746.31700000000012</v>
      </c>
      <c r="L35" s="528">
        <f>'Levy Budget 2020'!AF36</f>
        <v>40</v>
      </c>
      <c r="M35" s="464" t="e">
        <f t="shared" si="4"/>
        <v>#REF!</v>
      </c>
      <c r="N35" s="464">
        <f>'Levy Budget 2020'!AD36</f>
        <v>3697.4293365455892</v>
      </c>
      <c r="O35" s="464" t="e">
        <f t="shared" si="6"/>
        <v>#REF!</v>
      </c>
      <c r="P35" s="528">
        <f>'Levy Budget 2020'!AH36</f>
        <v>10874.134407338772</v>
      </c>
      <c r="Q35" s="464" t="e">
        <f t="shared" si="5"/>
        <v>#REF!</v>
      </c>
    </row>
    <row r="36" spans="1:17">
      <c r="A36" s="470">
        <v>504</v>
      </c>
      <c r="B36" t="e">
        <f>#REF!</f>
        <v>#REF!</v>
      </c>
      <c r="C36" s="464" t="e">
        <f t="shared" si="0"/>
        <v>#REF!</v>
      </c>
      <c r="D36" s="474" t="e">
        <f>#REF!</f>
        <v>#REF!</v>
      </c>
      <c r="E36" s="464" t="e">
        <f t="shared" si="1"/>
        <v>#REF!</v>
      </c>
      <c r="F36" s="474" t="e">
        <f>#REF!</f>
        <v>#REF!</v>
      </c>
      <c r="G36" s="464" t="e">
        <f t="shared" si="2"/>
        <v>#REF!</v>
      </c>
      <c r="H36" s="474" t="e">
        <f>#REF!</f>
        <v>#REF!</v>
      </c>
      <c r="I36" s="464" t="e">
        <f t="shared" si="3"/>
        <v>#REF!</v>
      </c>
      <c r="J36" s="474" t="e">
        <f t="shared" si="7"/>
        <v>#REF!</v>
      </c>
      <c r="K36" s="471">
        <v>0</v>
      </c>
      <c r="L36" s="528">
        <f>'Levy Budget 2020'!AF37</f>
        <v>40</v>
      </c>
      <c r="M36" s="464" t="e">
        <f t="shared" si="4"/>
        <v>#REF!</v>
      </c>
      <c r="N36" s="464">
        <f>'Levy Budget 2020'!AD37</f>
        <v>2495.3844082036076</v>
      </c>
      <c r="O36" s="464" t="e">
        <f t="shared" si="6"/>
        <v>#REF!</v>
      </c>
      <c r="P36" s="528">
        <f>'Levy Budget 2020'!AH37</f>
        <v>6848.2389086566191</v>
      </c>
      <c r="Q36" s="464" t="e">
        <f t="shared" si="5"/>
        <v>#REF!</v>
      </c>
    </row>
    <row r="37" spans="1:17">
      <c r="A37" s="470">
        <v>505</v>
      </c>
      <c r="B37" t="e">
        <f>#REF!</f>
        <v>#REF!</v>
      </c>
      <c r="C37" s="464" t="e">
        <f t="shared" si="0"/>
        <v>#REF!</v>
      </c>
      <c r="D37" s="474" t="e">
        <f>#REF!</f>
        <v>#REF!</v>
      </c>
      <c r="E37" s="464" t="e">
        <f t="shared" si="1"/>
        <v>#REF!</v>
      </c>
      <c r="F37" s="474" t="e">
        <f>#REF!</f>
        <v>#REF!</v>
      </c>
      <c r="G37" s="464" t="e">
        <f t="shared" si="2"/>
        <v>#REF!</v>
      </c>
      <c r="H37" s="474" t="e">
        <f>#REF!</f>
        <v>#REF!</v>
      </c>
      <c r="I37" s="464" t="e">
        <f t="shared" si="3"/>
        <v>#REF!</v>
      </c>
      <c r="J37" s="474" t="e">
        <f t="shared" si="7"/>
        <v>#REF!</v>
      </c>
      <c r="K37" s="471">
        <v>0</v>
      </c>
      <c r="L37" s="528">
        <f>'Levy Budget 2020'!AF38</f>
        <v>38.155836183180966</v>
      </c>
      <c r="M37" s="464" t="e">
        <f t="shared" si="4"/>
        <v>#REF!</v>
      </c>
      <c r="N37" s="464">
        <f>'Levy Budget 2020'!AD38</f>
        <v>882.51399802322703</v>
      </c>
      <c r="O37" s="464" t="e">
        <f t="shared" si="6"/>
        <v>#REF!</v>
      </c>
      <c r="P37" s="528">
        <f>'Levy Budget 2020'!AH38</f>
        <v>2445.947645342229</v>
      </c>
      <c r="Q37" s="464" t="e">
        <f t="shared" si="5"/>
        <v>#REF!</v>
      </c>
    </row>
    <row r="38" spans="1:17">
      <c r="A38" s="470">
        <v>506</v>
      </c>
      <c r="B38" t="e">
        <f>#REF!</f>
        <v>#REF!</v>
      </c>
      <c r="C38" s="464" t="e">
        <f t="shared" si="0"/>
        <v>#REF!</v>
      </c>
      <c r="D38" s="474" t="e">
        <f>#REF!</f>
        <v>#REF!</v>
      </c>
      <c r="E38" s="464" t="e">
        <f t="shared" si="1"/>
        <v>#REF!</v>
      </c>
      <c r="F38" s="474" t="e">
        <f>#REF!</f>
        <v>#REF!</v>
      </c>
      <c r="G38" s="464" t="e">
        <f t="shared" si="2"/>
        <v>#REF!</v>
      </c>
      <c r="H38" s="474" t="e">
        <f>#REF!</f>
        <v>#REF!</v>
      </c>
      <c r="I38" s="464" t="e">
        <f t="shared" si="3"/>
        <v>#REF!</v>
      </c>
      <c r="J38" s="474" t="e">
        <f t="shared" si="7"/>
        <v>#REF!</v>
      </c>
      <c r="K38" s="471">
        <v>0</v>
      </c>
      <c r="L38" s="528">
        <f>'Levy Budget 2020'!AF39</f>
        <v>37.325563145539903</v>
      </c>
      <c r="M38" s="464" t="e">
        <f t="shared" si="4"/>
        <v>#REF!</v>
      </c>
      <c r="N38" s="464">
        <f>'Levy Budget 2020'!AD39</f>
        <v>867.29823943661961</v>
      </c>
      <c r="O38" s="464" t="e">
        <f t="shared" si="6"/>
        <v>#REF!</v>
      </c>
      <c r="P38" s="528">
        <f>'Levy Budget 2020'!AH39</f>
        <v>2403.6037204225349</v>
      </c>
      <c r="Q38" s="464" t="e">
        <f t="shared" si="5"/>
        <v>#REF!</v>
      </c>
    </row>
    <row r="39" spans="1:17">
      <c r="A39" s="465"/>
      <c r="B39" s="465"/>
      <c r="C39" s="466" t="e">
        <f>SUM(C5:C38)</f>
        <v>#REF!</v>
      </c>
      <c r="D39" s="465"/>
      <c r="E39" s="466" t="e">
        <f>SUM(E5:E38)</f>
        <v>#REF!</v>
      </c>
      <c r="F39" s="465"/>
      <c r="G39" s="466" t="e">
        <f>SUM(G5:G38)</f>
        <v>#REF!</v>
      </c>
      <c r="H39" s="465"/>
      <c r="I39" s="466" t="e">
        <f t="shared" ref="I39:O39" si="8">SUM(I5:I38)</f>
        <v>#REF!</v>
      </c>
      <c r="J39" s="477" t="e">
        <f t="shared" si="8"/>
        <v>#REF!</v>
      </c>
      <c r="K39" s="475">
        <f t="shared" si="8"/>
        <v>1423.9170000000001</v>
      </c>
      <c r="L39" s="466">
        <f t="shared" si="8"/>
        <v>1338.9717406473933</v>
      </c>
      <c r="M39" s="466" t="e">
        <f t="shared" si="8"/>
        <v>#REF!</v>
      </c>
      <c r="N39" s="466">
        <f>SUM(N5:N38)</f>
        <v>61212.996793921426</v>
      </c>
      <c r="O39" s="466" t="e">
        <f t="shared" si="8"/>
        <v>#REF!</v>
      </c>
      <c r="P39" s="466">
        <f>SUM(P5:P38)</f>
        <v>169772.31026214478</v>
      </c>
      <c r="Q39" s="466" t="e">
        <f>SUM(Q5:Q38)</f>
        <v>#REF!</v>
      </c>
    </row>
    <row r="40" spans="1:17">
      <c r="A40" t="s">
        <v>271</v>
      </c>
      <c r="C40" s="476">
        <f>'Levy Budget 2020'!AB40</f>
        <v>296.51593773165308</v>
      </c>
      <c r="D40" s="476"/>
      <c r="E40" s="476"/>
      <c r="F40" s="476"/>
      <c r="G40" s="476"/>
      <c r="H40" s="476"/>
      <c r="I40" s="476"/>
      <c r="J40" s="478" t="e">
        <f>#REF!</f>
        <v>#REF!</v>
      </c>
    </row>
    <row r="41" spans="1:17">
      <c r="A41" t="s">
        <v>271</v>
      </c>
      <c r="C41" s="476">
        <f>'Levy Budget 2020'!AB41</f>
        <v>98.838645910551023</v>
      </c>
      <c r="E41" s="466" t="e">
        <f>E39+G39</f>
        <v>#REF!</v>
      </c>
      <c r="J41" s="478" t="e">
        <f>#REF!</f>
        <v>#REF!</v>
      </c>
      <c r="M41" s="471" t="e">
        <f>K39+L39+M39+N39+C39+E39+G39+I39</f>
        <v>#REF!</v>
      </c>
    </row>
    <row r="42" spans="1:17">
      <c r="C42" s="466" t="e">
        <f>SUM(C39:C41)</f>
        <v>#REF!</v>
      </c>
      <c r="J42" s="477" t="e">
        <f>SUM(J39:J41)</f>
        <v>#REF!</v>
      </c>
      <c r="M42" s="471" t="e">
        <f>M41*12</f>
        <v>#REF!</v>
      </c>
    </row>
    <row r="43" spans="1:17">
      <c r="C43" s="479" t="e">
        <f>C42+E39+G39+I39</f>
        <v>#REF!</v>
      </c>
    </row>
    <row r="44" spans="1:17">
      <c r="C44" s="476"/>
    </row>
    <row r="45" spans="1:17">
      <c r="C45" s="464"/>
    </row>
    <row r="46" spans="1:17">
      <c r="G46" s="464"/>
    </row>
    <row r="47" spans="1:17">
      <c r="G47" s="464"/>
    </row>
  </sheetData>
  <mergeCells count="4"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Budget 2020</vt:lpstr>
      <vt:lpstr>Levy Budget 2020</vt:lpstr>
      <vt:lpstr>Reconcilliation Sheet</vt:lpstr>
      <vt:lpstr>Levy Schedule</vt:lpstr>
      <vt:lpstr>10 Year Maintenance Plan</vt:lpstr>
      <vt:lpstr>Costs 2019 Actual</vt:lpstr>
      <vt:lpstr>Reconcilliation Sheet 2020</vt:lpstr>
      <vt:lpstr>'Costs 2019 Actual'!Print_Area</vt:lpstr>
      <vt:lpstr>'Levy Budget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Gordon</dc:creator>
  <cp:lastModifiedBy>Microsoft Office User</cp:lastModifiedBy>
  <cp:lastPrinted>2019-06-29T09:00:31Z</cp:lastPrinted>
  <dcterms:created xsi:type="dcterms:W3CDTF">2018-09-03T09:58:45Z</dcterms:created>
  <dcterms:modified xsi:type="dcterms:W3CDTF">2019-07-01T09:13:01Z</dcterms:modified>
</cp:coreProperties>
</file>