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projects\smartgrids\energy2\tests\"/>
    </mc:Choice>
  </mc:AlternateContent>
  <xr:revisionPtr revIDLastSave="0" documentId="13_ncr:1_{459CE643-7A31-4ADA-A0B0-9C4DB5F27DEF}" xr6:coauthVersionLast="47" xr6:coauthVersionMax="47" xr10:uidLastSave="{00000000-0000-0000-0000-000000000000}"/>
  <bookViews>
    <workbookView xWindow="28680" yWindow="-4125" windowWidth="29040" windowHeight="15720" activeTab="5" xr2:uid="{00000000-000D-0000-FFFF-FFFF00000000}"/>
  </bookViews>
  <sheets>
    <sheet name="result MC1" sheetId="1" r:id="rId1"/>
    <sheet name="result MC2" sheetId="8" r:id="rId2"/>
    <sheet name="result MC3" sheetId="11" r:id="rId3"/>
    <sheet name="result LSTM" sheetId="5" r:id="rId4"/>
    <sheet name="result Ens.L" sheetId="10" r:id="rId5"/>
    <sheet name="Summary" sheetId="9" r:id="rId6"/>
    <sheet name="old-Summary" sheetId="4" r:id="rId7"/>
  </sheets>
  <definedNames>
    <definedName name="_xlnm._FilterDatabase" localSheetId="0" hidden="1">'result MC1'!$A$1:$F$52</definedName>
    <definedName name="_xlnm._FilterDatabase" localSheetId="1" hidden="1">'result MC2'!$A$1:$F$13</definedName>
    <definedName name="_xlnm._FilterDatabase" localSheetId="2" hidden="1">'result MC3'!$A$1:$AA$33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0" l="1"/>
  <c r="L38" i="10"/>
  <c r="M38" i="10"/>
  <c r="K39" i="10"/>
  <c r="L39" i="10"/>
  <c r="M39" i="10"/>
  <c r="K40" i="10"/>
  <c r="L40" i="10"/>
  <c r="M40" i="10"/>
  <c r="K41" i="10"/>
  <c r="L41" i="10"/>
  <c r="M41" i="10"/>
  <c r="K26" i="10"/>
  <c r="L26" i="10"/>
  <c r="M26" i="10"/>
  <c r="K27" i="10"/>
  <c r="L27" i="10"/>
  <c r="M27" i="10"/>
  <c r="K28" i="10"/>
  <c r="L28" i="10"/>
  <c r="M28" i="10"/>
  <c r="K29" i="10"/>
  <c r="L29" i="10"/>
  <c r="M29" i="10"/>
  <c r="K30" i="10"/>
  <c r="L30" i="10"/>
  <c r="M30" i="10"/>
  <c r="K31" i="10"/>
  <c r="L31" i="10"/>
  <c r="M31" i="10"/>
  <c r="K32" i="10"/>
  <c r="L32" i="10"/>
  <c r="M32" i="10"/>
  <c r="K33" i="10"/>
  <c r="L33" i="10"/>
  <c r="M33" i="10"/>
  <c r="H53" i="10"/>
  <c r="K34" i="10"/>
  <c r="L34" i="10"/>
  <c r="M34" i="10"/>
  <c r="K35" i="10"/>
  <c r="L35" i="10"/>
  <c r="M35" i="10"/>
  <c r="K36" i="10"/>
  <c r="L36" i="10"/>
  <c r="M36" i="10"/>
  <c r="K37" i="10"/>
  <c r="L37" i="10"/>
  <c r="M37" i="10"/>
  <c r="C56" i="9"/>
  <c r="D56" i="9"/>
  <c r="E56" i="9"/>
  <c r="F56" i="9"/>
  <c r="G56" i="9"/>
  <c r="C57" i="9"/>
  <c r="D57" i="9"/>
  <c r="E57" i="9"/>
  <c r="F57" i="9"/>
  <c r="G57" i="9"/>
  <c r="F111" i="9"/>
  <c r="E111" i="9"/>
  <c r="D111" i="9"/>
  <c r="C111" i="9"/>
  <c r="F110" i="9"/>
  <c r="E110" i="9"/>
  <c r="D110" i="9"/>
  <c r="C110" i="9"/>
  <c r="F114" i="9"/>
  <c r="E114" i="9"/>
  <c r="D114" i="9"/>
  <c r="C114" i="9"/>
  <c r="F113" i="9"/>
  <c r="E113" i="9"/>
  <c r="D113" i="9"/>
  <c r="C113" i="9"/>
  <c r="F112" i="9"/>
  <c r="E112" i="9"/>
  <c r="D112" i="9"/>
  <c r="C112" i="9"/>
  <c r="F109" i="9"/>
  <c r="E109" i="9"/>
  <c r="D109" i="9"/>
  <c r="C109" i="9"/>
  <c r="D94" i="9"/>
  <c r="E94" i="9"/>
  <c r="F94" i="9"/>
  <c r="D93" i="9"/>
  <c r="E93" i="9"/>
  <c r="F93" i="9"/>
  <c r="C94" i="9"/>
  <c r="C93" i="9"/>
  <c r="F92" i="9"/>
  <c r="E92" i="9"/>
  <c r="D92" i="9"/>
  <c r="C92" i="9"/>
  <c r="F91" i="9"/>
  <c r="E91" i="9"/>
  <c r="D91" i="9"/>
  <c r="C91" i="9"/>
  <c r="F90" i="9"/>
  <c r="E90" i="9"/>
  <c r="D90" i="9"/>
  <c r="C90" i="9"/>
  <c r="F89" i="9"/>
  <c r="E89" i="9"/>
  <c r="D89" i="9"/>
  <c r="C89" i="9"/>
  <c r="C80" i="9"/>
  <c r="D80" i="9"/>
  <c r="C76" i="9"/>
  <c r="D76" i="9"/>
  <c r="E76" i="9"/>
  <c r="F76" i="9"/>
  <c r="H48" i="10"/>
  <c r="K36" i="5"/>
  <c r="K35" i="5"/>
  <c r="K34" i="5"/>
  <c r="K33" i="5"/>
  <c r="X47" i="11"/>
  <c r="W47" i="11"/>
  <c r="V47" i="11"/>
  <c r="O47" i="11"/>
  <c r="X41" i="11"/>
  <c r="W41" i="11"/>
  <c r="V41" i="11"/>
  <c r="O41" i="11"/>
  <c r="X36" i="8"/>
  <c r="W36" i="8"/>
  <c r="V36" i="8"/>
  <c r="O36" i="8"/>
  <c r="X30" i="8"/>
  <c r="W30" i="8"/>
  <c r="V30" i="8"/>
  <c r="O30" i="8"/>
  <c r="X65" i="1"/>
  <c r="X60" i="1"/>
  <c r="V65" i="1"/>
  <c r="V60" i="1"/>
  <c r="W60" i="1"/>
  <c r="W65" i="1"/>
  <c r="O65" i="1"/>
  <c r="O60" i="1"/>
  <c r="V30" i="11"/>
  <c r="W30" i="11"/>
  <c r="X30" i="11" s="1"/>
  <c r="V31" i="11"/>
  <c r="W31" i="11"/>
  <c r="X31" i="11" s="1"/>
  <c r="V32" i="11"/>
  <c r="W32" i="11"/>
  <c r="X32" i="11" s="1"/>
  <c r="V33" i="11"/>
  <c r="W33" i="11"/>
  <c r="X33" i="11" s="1"/>
  <c r="V20" i="11"/>
  <c r="W20" i="11"/>
  <c r="X20" i="11" s="1"/>
  <c r="V21" i="11"/>
  <c r="W21" i="11"/>
  <c r="X21" i="11" s="1"/>
  <c r="V22" i="11"/>
  <c r="W22" i="11"/>
  <c r="X22" i="11" s="1"/>
  <c r="V23" i="11"/>
  <c r="W23" i="11"/>
  <c r="X23" i="11" s="1"/>
  <c r="V24" i="11"/>
  <c r="W24" i="11"/>
  <c r="X24" i="11" s="1"/>
  <c r="V25" i="11"/>
  <c r="W25" i="11"/>
  <c r="X25" i="11" s="1"/>
  <c r="V26" i="11"/>
  <c r="W26" i="11"/>
  <c r="X26" i="11" s="1"/>
  <c r="V27" i="11"/>
  <c r="W27" i="11"/>
  <c r="X27" i="11" s="1"/>
  <c r="V28" i="11"/>
  <c r="W28" i="11"/>
  <c r="X28" i="11" s="1"/>
  <c r="V29" i="11"/>
  <c r="W29" i="11"/>
  <c r="X29" i="11" s="1"/>
  <c r="O48" i="11"/>
  <c r="O46" i="11"/>
  <c r="O45" i="11"/>
  <c r="O44" i="11"/>
  <c r="O43" i="11"/>
  <c r="O42" i="11"/>
  <c r="O40" i="11"/>
  <c r="O39" i="11"/>
  <c r="O38" i="11"/>
  <c r="O37" i="11"/>
  <c r="O36" i="11"/>
  <c r="W19" i="11"/>
  <c r="X19" i="11" s="1"/>
  <c r="V19" i="11"/>
  <c r="W18" i="11"/>
  <c r="W42" i="11" s="1"/>
  <c r="V18" i="11"/>
  <c r="V42" i="11" s="1"/>
  <c r="W17" i="11"/>
  <c r="X17" i="11" s="1"/>
  <c r="V17" i="11"/>
  <c r="W16" i="11"/>
  <c r="X16" i="11" s="1"/>
  <c r="V16" i="11"/>
  <c r="W15" i="11"/>
  <c r="X15" i="11" s="1"/>
  <c r="V15" i="11"/>
  <c r="W14" i="11"/>
  <c r="V14" i="11"/>
  <c r="W13" i="11"/>
  <c r="X13" i="11" s="1"/>
  <c r="V13" i="11"/>
  <c r="W12" i="11"/>
  <c r="X12" i="11" s="1"/>
  <c r="V12" i="11"/>
  <c r="W11" i="11"/>
  <c r="X11" i="11" s="1"/>
  <c r="V11" i="11"/>
  <c r="W10" i="11"/>
  <c r="X10" i="11" s="1"/>
  <c r="V10" i="11"/>
  <c r="W9" i="11"/>
  <c r="W46" i="11" s="1"/>
  <c r="V9" i="11"/>
  <c r="V46" i="11" s="1"/>
  <c r="W8" i="11"/>
  <c r="X8" i="11" s="1"/>
  <c r="V8" i="11"/>
  <c r="W7" i="11"/>
  <c r="X7" i="11" s="1"/>
  <c r="V7" i="11"/>
  <c r="W6" i="11"/>
  <c r="X6" i="11" s="1"/>
  <c r="V6" i="11"/>
  <c r="W5" i="11"/>
  <c r="V5" i="11"/>
  <c r="W4" i="11"/>
  <c r="X4" i="11" s="1"/>
  <c r="V4" i="11"/>
  <c r="W3" i="11"/>
  <c r="X3" i="11" s="1"/>
  <c r="V3" i="11"/>
  <c r="W2" i="11"/>
  <c r="V2" i="11"/>
  <c r="K17" i="10"/>
  <c r="L17" i="10"/>
  <c r="M17" i="10"/>
  <c r="K16" i="10"/>
  <c r="L16" i="10"/>
  <c r="M16" i="10"/>
  <c r="C75" i="9"/>
  <c r="L21" i="10"/>
  <c r="M21" i="10"/>
  <c r="K21" i="10"/>
  <c r="K20" i="10"/>
  <c r="M20" i="10"/>
  <c r="L20" i="10"/>
  <c r="L13" i="10"/>
  <c r="M13" i="10"/>
  <c r="K13" i="10"/>
  <c r="L3" i="10"/>
  <c r="M3" i="10"/>
  <c r="K3" i="10"/>
  <c r="K22" i="10"/>
  <c r="L22" i="10"/>
  <c r="M22" i="10"/>
  <c r="K23" i="10"/>
  <c r="L23" i="10"/>
  <c r="M23" i="10"/>
  <c r="K24" i="10"/>
  <c r="L24" i="10"/>
  <c r="M24" i="10"/>
  <c r="K25" i="10"/>
  <c r="L25" i="10"/>
  <c r="M25" i="10"/>
  <c r="K18" i="10"/>
  <c r="L18" i="10"/>
  <c r="M18" i="10"/>
  <c r="K19" i="10"/>
  <c r="L19" i="10"/>
  <c r="M19" i="10"/>
  <c r="K14" i="10"/>
  <c r="L14" i="10"/>
  <c r="M14" i="10"/>
  <c r="K15" i="10"/>
  <c r="L15" i="10"/>
  <c r="M15" i="10"/>
  <c r="F75" i="9"/>
  <c r="F74" i="9"/>
  <c r="F73" i="9"/>
  <c r="E74" i="9"/>
  <c r="E75" i="9"/>
  <c r="E73" i="9"/>
  <c r="D78" i="9"/>
  <c r="D79" i="9"/>
  <c r="D77" i="9"/>
  <c r="D74" i="9"/>
  <c r="D75" i="9"/>
  <c r="D73" i="9"/>
  <c r="C79" i="9"/>
  <c r="C78" i="9"/>
  <c r="C77" i="9"/>
  <c r="C74" i="9"/>
  <c r="C73" i="9"/>
  <c r="K9" i="10"/>
  <c r="L9" i="10"/>
  <c r="M9" i="10"/>
  <c r="K10" i="10"/>
  <c r="L10" i="10"/>
  <c r="M10" i="10"/>
  <c r="K11" i="10"/>
  <c r="L11" i="10"/>
  <c r="M11" i="10"/>
  <c r="K12" i="10"/>
  <c r="L12" i="10"/>
  <c r="M12" i="10"/>
  <c r="K5" i="10"/>
  <c r="L5" i="10"/>
  <c r="M5" i="10"/>
  <c r="K6" i="10"/>
  <c r="L6" i="10"/>
  <c r="M6" i="10"/>
  <c r="K7" i="10"/>
  <c r="L7" i="10"/>
  <c r="M7" i="10"/>
  <c r="K8" i="10"/>
  <c r="L8" i="10"/>
  <c r="M8" i="10"/>
  <c r="K4" i="10"/>
  <c r="L4" i="10"/>
  <c r="M4" i="10"/>
  <c r="M2" i="10"/>
  <c r="L2" i="10"/>
  <c r="K2" i="10"/>
  <c r="H52" i="10"/>
  <c r="H51" i="10"/>
  <c r="H50" i="10"/>
  <c r="H49" i="10"/>
  <c r="H47" i="10"/>
  <c r="H46" i="10"/>
  <c r="O45" i="10"/>
  <c r="H45" i="10"/>
  <c r="H44" i="10"/>
  <c r="H43" i="10"/>
  <c r="K32" i="5"/>
  <c r="L36" i="5"/>
  <c r="L35" i="5"/>
  <c r="L34" i="5"/>
  <c r="L33" i="5"/>
  <c r="L32" i="5"/>
  <c r="M36" i="5"/>
  <c r="M35" i="5"/>
  <c r="M34" i="5"/>
  <c r="M33" i="5"/>
  <c r="M32" i="5"/>
  <c r="M31" i="5"/>
  <c r="L30" i="5"/>
  <c r="L29" i="5"/>
  <c r="L28" i="5"/>
  <c r="L27" i="5"/>
  <c r="M30" i="5"/>
  <c r="M29" i="5"/>
  <c r="M28" i="5"/>
  <c r="M27" i="5"/>
  <c r="M26" i="5"/>
  <c r="L26" i="5"/>
  <c r="H36" i="5"/>
  <c r="H35" i="5"/>
  <c r="H34" i="5"/>
  <c r="H33" i="5"/>
  <c r="H32" i="5"/>
  <c r="L31" i="5"/>
  <c r="K31" i="5"/>
  <c r="H31" i="5"/>
  <c r="L25" i="5"/>
  <c r="K25" i="5"/>
  <c r="H25" i="5"/>
  <c r="M25" i="5"/>
  <c r="M24" i="5"/>
  <c r="L24" i="5"/>
  <c r="K24" i="5"/>
  <c r="H24" i="5"/>
  <c r="H29" i="5"/>
  <c r="H30" i="5"/>
  <c r="H28" i="5"/>
  <c r="H27" i="5"/>
  <c r="H26" i="5"/>
  <c r="K27" i="5"/>
  <c r="K26" i="5"/>
  <c r="O26" i="5"/>
  <c r="G55" i="9"/>
  <c r="G54" i="9"/>
  <c r="F48" i="9"/>
  <c r="E48" i="9"/>
  <c r="D48" i="9"/>
  <c r="C48" i="9"/>
  <c r="D43" i="9"/>
  <c r="C43" i="9"/>
  <c r="F33" i="9"/>
  <c r="E33" i="9"/>
  <c r="D33" i="9"/>
  <c r="C33" i="9"/>
  <c r="D28" i="9"/>
  <c r="C28" i="9"/>
  <c r="F55" i="9"/>
  <c r="E55" i="9"/>
  <c r="D55" i="9"/>
  <c r="C55" i="9"/>
  <c r="F54" i="9"/>
  <c r="E54" i="9"/>
  <c r="D54" i="9"/>
  <c r="C54" i="9"/>
  <c r="F47" i="9"/>
  <c r="E47" i="9"/>
  <c r="D47" i="9"/>
  <c r="C47" i="9"/>
  <c r="F46" i="9"/>
  <c r="E46" i="9"/>
  <c r="D46" i="9"/>
  <c r="C46" i="9"/>
  <c r="F45" i="9"/>
  <c r="E45" i="9"/>
  <c r="D45" i="9"/>
  <c r="C45" i="9"/>
  <c r="F44" i="9"/>
  <c r="E44" i="9"/>
  <c r="D44" i="9"/>
  <c r="C44" i="9"/>
  <c r="D42" i="9"/>
  <c r="C42" i="9"/>
  <c r="D41" i="9"/>
  <c r="C41" i="9"/>
  <c r="D40" i="9"/>
  <c r="C40" i="9"/>
  <c r="D39" i="9"/>
  <c r="C39" i="9"/>
  <c r="F32" i="9"/>
  <c r="E32" i="9"/>
  <c r="D32" i="9"/>
  <c r="C32" i="9"/>
  <c r="F31" i="9"/>
  <c r="E31" i="9"/>
  <c r="D31" i="9"/>
  <c r="C31" i="9"/>
  <c r="F30" i="9"/>
  <c r="E30" i="9"/>
  <c r="D30" i="9"/>
  <c r="C30" i="9"/>
  <c r="F29" i="9"/>
  <c r="E29" i="9"/>
  <c r="D29" i="9"/>
  <c r="C29" i="9"/>
  <c r="D27" i="9"/>
  <c r="C27" i="9"/>
  <c r="D26" i="9"/>
  <c r="C26" i="9"/>
  <c r="D25" i="9"/>
  <c r="C25" i="9"/>
  <c r="D24" i="9"/>
  <c r="C24" i="9"/>
  <c r="O37" i="8"/>
  <c r="O31" i="8"/>
  <c r="W20" i="8"/>
  <c r="X20" i="8" s="1"/>
  <c r="W21" i="8"/>
  <c r="X21" i="8" s="1"/>
  <c r="X31" i="8" s="1"/>
  <c r="W22" i="8"/>
  <c r="X22" i="8"/>
  <c r="V20" i="8"/>
  <c r="V21" i="8"/>
  <c r="V31" i="8" s="1"/>
  <c r="V22" i="8"/>
  <c r="L53" i="10" l="1"/>
  <c r="K53" i="10"/>
  <c r="I53" i="10" s="1"/>
  <c r="M53" i="10"/>
  <c r="L48" i="10"/>
  <c r="K48" i="10"/>
  <c r="I48" i="10" s="1"/>
  <c r="M48" i="10"/>
  <c r="V40" i="11"/>
  <c r="R40" i="11" s="1"/>
  <c r="X40" i="11"/>
  <c r="X48" i="11"/>
  <c r="R47" i="11"/>
  <c r="V38" i="11"/>
  <c r="R38" i="11" s="1"/>
  <c r="R41" i="11"/>
  <c r="W39" i="11"/>
  <c r="V48" i="11"/>
  <c r="R48" i="11" s="1"/>
  <c r="R42" i="11"/>
  <c r="V39" i="11"/>
  <c r="R39" i="11" s="1"/>
  <c r="W44" i="11"/>
  <c r="V36" i="11"/>
  <c r="R36" i="11" s="1"/>
  <c r="W36" i="11"/>
  <c r="R46" i="11"/>
  <c r="V44" i="11"/>
  <c r="R44" i="11" s="1"/>
  <c r="W38" i="11"/>
  <c r="X39" i="11"/>
  <c r="X14" i="11"/>
  <c r="X44" i="11" s="1"/>
  <c r="X18" i="11"/>
  <c r="X42" i="11" s="1"/>
  <c r="S42" i="11" s="1"/>
  <c r="V37" i="11"/>
  <c r="R37" i="11" s="1"/>
  <c r="V43" i="11"/>
  <c r="R43" i="11" s="1"/>
  <c r="V45" i="11"/>
  <c r="R45" i="11" s="1"/>
  <c r="W37" i="11"/>
  <c r="W43" i="11"/>
  <c r="W45" i="11"/>
  <c r="X2" i="11"/>
  <c r="X5" i="11"/>
  <c r="X38" i="11" s="1"/>
  <c r="X9" i="11"/>
  <c r="X46" i="11" s="1"/>
  <c r="S46" i="11" s="1"/>
  <c r="W40" i="11"/>
  <c r="W48" i="11"/>
  <c r="X37" i="8"/>
  <c r="R31" i="8"/>
  <c r="W31" i="8"/>
  <c r="S31" i="8" s="1"/>
  <c r="W37" i="8"/>
  <c r="V37" i="8"/>
  <c r="R37" i="8" s="1"/>
  <c r="L51" i="10"/>
  <c r="L52" i="10"/>
  <c r="M47" i="10"/>
  <c r="M46" i="10"/>
  <c r="M52" i="10"/>
  <c r="L46" i="10"/>
  <c r="K51" i="10"/>
  <c r="I51" i="10" s="1"/>
  <c r="L47" i="10"/>
  <c r="K52" i="10"/>
  <c r="I52" i="10" s="1"/>
  <c r="L50" i="10"/>
  <c r="K46" i="10"/>
  <c r="I46" i="10" s="1"/>
  <c r="K47" i="10"/>
  <c r="I47" i="10" s="1"/>
  <c r="L45" i="10"/>
  <c r="K45" i="10"/>
  <c r="I45" i="10" s="1"/>
  <c r="M50" i="10"/>
  <c r="K50" i="10"/>
  <c r="I50" i="10" s="1"/>
  <c r="M45" i="10"/>
  <c r="L43" i="10"/>
  <c r="K49" i="10"/>
  <c r="I49" i="10" s="1"/>
  <c r="M43" i="10"/>
  <c r="K43" i="10"/>
  <c r="I43" i="10" s="1"/>
  <c r="K44" i="10"/>
  <c r="I44" i="10" s="1"/>
  <c r="L44" i="10"/>
  <c r="M44" i="10"/>
  <c r="L49" i="10"/>
  <c r="M49" i="10"/>
  <c r="M51" i="10"/>
  <c r="M19" i="5"/>
  <c r="M20" i="5"/>
  <c r="M21" i="5"/>
  <c r="L19" i="5"/>
  <c r="L20" i="5"/>
  <c r="L21" i="5"/>
  <c r="K19" i="5"/>
  <c r="K30" i="5" s="1"/>
  <c r="K20" i="5"/>
  <c r="K21" i="5"/>
  <c r="B59" i="4"/>
  <c r="C59" i="4"/>
  <c r="D59" i="4"/>
  <c r="E59" i="4"/>
  <c r="F59" i="4"/>
  <c r="F61" i="4"/>
  <c r="E61" i="4"/>
  <c r="D61" i="4"/>
  <c r="B61" i="4"/>
  <c r="B60" i="4"/>
  <c r="F60" i="4"/>
  <c r="E60" i="4"/>
  <c r="D60" i="4"/>
  <c r="C61" i="4"/>
  <c r="C60" i="4"/>
  <c r="V7" i="8"/>
  <c r="W7" i="8"/>
  <c r="X7" i="8" s="1"/>
  <c r="V8" i="8"/>
  <c r="W8" i="8"/>
  <c r="X8" i="8" s="1"/>
  <c r="V9" i="8"/>
  <c r="W9" i="8"/>
  <c r="X9" i="8"/>
  <c r="C50" i="4"/>
  <c r="C51" i="4"/>
  <c r="C52" i="4"/>
  <c r="C53" i="4"/>
  <c r="E50" i="4"/>
  <c r="E51" i="4"/>
  <c r="E52" i="4"/>
  <c r="E53" i="4"/>
  <c r="D50" i="4"/>
  <c r="D51" i="4"/>
  <c r="D52" i="4"/>
  <c r="D53" i="4"/>
  <c r="E37" i="4"/>
  <c r="E38" i="4"/>
  <c r="E39" i="4"/>
  <c r="E40" i="4"/>
  <c r="C37" i="4"/>
  <c r="C38" i="4"/>
  <c r="C39" i="4"/>
  <c r="C40" i="4"/>
  <c r="D37" i="4"/>
  <c r="D38" i="4"/>
  <c r="D39" i="4"/>
  <c r="D40" i="4"/>
  <c r="E25" i="4"/>
  <c r="E26" i="4"/>
  <c r="E27" i="4"/>
  <c r="E24" i="4"/>
  <c r="D25" i="4"/>
  <c r="D26" i="4"/>
  <c r="D27" i="4"/>
  <c r="D24" i="4"/>
  <c r="W5" i="8"/>
  <c r="X5" i="8" s="1"/>
  <c r="W6" i="8"/>
  <c r="X6" i="8" s="1"/>
  <c r="W10" i="8"/>
  <c r="X10" i="8" s="1"/>
  <c r="V5" i="8"/>
  <c r="V6" i="8"/>
  <c r="V10" i="8"/>
  <c r="J53" i="10" l="1"/>
  <c r="J48" i="10"/>
  <c r="S40" i="11"/>
  <c r="S48" i="11"/>
  <c r="S41" i="11"/>
  <c r="S47" i="11"/>
  <c r="S39" i="11"/>
  <c r="S44" i="11"/>
  <c r="S38" i="11"/>
  <c r="X37" i="11"/>
  <c r="S37" i="11" s="1"/>
  <c r="X36" i="11"/>
  <c r="S36" i="11" s="1"/>
  <c r="X45" i="11"/>
  <c r="S45" i="11" s="1"/>
  <c r="X43" i="11"/>
  <c r="S43" i="11" s="1"/>
  <c r="S37" i="8"/>
  <c r="J51" i="10"/>
  <c r="J52" i="10"/>
  <c r="J47" i="10"/>
  <c r="J46" i="10"/>
  <c r="J50" i="10"/>
  <c r="J45" i="10"/>
  <c r="J43" i="10"/>
  <c r="J49" i="10"/>
  <c r="J44" i="10"/>
  <c r="J36" i="5"/>
  <c r="I30" i="5"/>
  <c r="I36" i="5"/>
  <c r="J30" i="5"/>
  <c r="C46" i="4"/>
  <c r="C47" i="4"/>
  <c r="C48" i="4"/>
  <c r="C49" i="4"/>
  <c r="C33" i="4"/>
  <c r="C34" i="4"/>
  <c r="C35" i="4"/>
  <c r="C36" i="4"/>
  <c r="C25" i="4"/>
  <c r="C26" i="4"/>
  <c r="C27" i="4"/>
  <c r="C24" i="4"/>
  <c r="C20" i="4"/>
  <c r="C21" i="4"/>
  <c r="C22" i="4"/>
  <c r="C23" i="4"/>
  <c r="B37" i="4"/>
  <c r="B38" i="4"/>
  <c r="B39" i="4"/>
  <c r="B40" i="4"/>
  <c r="B33" i="4"/>
  <c r="B34" i="4"/>
  <c r="B35" i="4"/>
  <c r="B36" i="4"/>
  <c r="B50" i="4"/>
  <c r="B51" i="4"/>
  <c r="B52" i="4"/>
  <c r="B53" i="4"/>
  <c r="B46" i="4"/>
  <c r="B47" i="4"/>
  <c r="B48" i="4"/>
  <c r="B49" i="4"/>
  <c r="W19" i="8"/>
  <c r="X19" i="8" s="1"/>
  <c r="W18" i="8"/>
  <c r="X18" i="8" s="1"/>
  <c r="W17" i="8"/>
  <c r="X17" i="8" s="1"/>
  <c r="W16" i="8"/>
  <c r="X16" i="8" s="1"/>
  <c r="W15" i="8"/>
  <c r="X15" i="8" s="1"/>
  <c r="W14" i="8"/>
  <c r="X14" i="8" s="1"/>
  <c r="W13" i="8"/>
  <c r="X13" i="8" s="1"/>
  <c r="W12" i="8"/>
  <c r="X12" i="8" s="1"/>
  <c r="W11" i="8"/>
  <c r="W35" i="8" s="1"/>
  <c r="W4" i="8"/>
  <c r="X4" i="8" s="1"/>
  <c r="W3" i="8"/>
  <c r="X3" i="8" s="1"/>
  <c r="W2" i="8"/>
  <c r="X2" i="8" s="1"/>
  <c r="V19" i="8"/>
  <c r="V18" i="8"/>
  <c r="V17" i="8"/>
  <c r="V16" i="8"/>
  <c r="V15" i="8"/>
  <c r="V14" i="8"/>
  <c r="V13" i="8"/>
  <c r="V12" i="8"/>
  <c r="V29" i="8" s="1"/>
  <c r="V11" i="8"/>
  <c r="V35" i="8" s="1"/>
  <c r="V4" i="8"/>
  <c r="V3" i="8"/>
  <c r="V2" i="8"/>
  <c r="O35" i="8"/>
  <c r="O34" i="8"/>
  <c r="O33" i="8"/>
  <c r="O32" i="8"/>
  <c r="O29" i="8"/>
  <c r="O28" i="8"/>
  <c r="O27" i="8"/>
  <c r="O26" i="8"/>
  <c r="O25" i="8"/>
  <c r="K16" i="5"/>
  <c r="L16" i="5"/>
  <c r="M16" i="5"/>
  <c r="K17" i="5"/>
  <c r="K29" i="5" s="1"/>
  <c r="L17" i="5"/>
  <c r="M17" i="5"/>
  <c r="K18" i="5"/>
  <c r="L18" i="5"/>
  <c r="M18" i="5"/>
  <c r="K6" i="5"/>
  <c r="L6" i="5"/>
  <c r="M6" i="5"/>
  <c r="K7" i="5"/>
  <c r="L7" i="5"/>
  <c r="M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K13" i="5"/>
  <c r="L13" i="5"/>
  <c r="M13" i="5"/>
  <c r="K14" i="5"/>
  <c r="L14" i="5"/>
  <c r="M14" i="5"/>
  <c r="K15" i="5"/>
  <c r="K28" i="5" s="1"/>
  <c r="L15" i="5"/>
  <c r="M15" i="5"/>
  <c r="M5" i="5"/>
  <c r="L5" i="5"/>
  <c r="K5" i="5"/>
  <c r="K2" i="5"/>
  <c r="L2" i="5"/>
  <c r="M2" i="5"/>
  <c r="K3" i="5"/>
  <c r="L3" i="5"/>
  <c r="M3" i="5"/>
  <c r="K4" i="5"/>
  <c r="L4" i="5"/>
  <c r="M4" i="5"/>
  <c r="B24" i="4"/>
  <c r="B25" i="4"/>
  <c r="B26" i="4"/>
  <c r="B27" i="4"/>
  <c r="B20" i="4"/>
  <c r="B21" i="4"/>
  <c r="B22" i="4"/>
  <c r="B23" i="4"/>
  <c r="W52" i="1"/>
  <c r="X52" i="1" s="1"/>
  <c r="V52" i="1"/>
  <c r="W51" i="1"/>
  <c r="X51" i="1" s="1"/>
  <c r="V51" i="1"/>
  <c r="W50" i="1"/>
  <c r="X50" i="1" s="1"/>
  <c r="V50" i="1"/>
  <c r="W49" i="1"/>
  <c r="X49" i="1" s="1"/>
  <c r="V49" i="1"/>
  <c r="W48" i="1"/>
  <c r="X48" i="1" s="1"/>
  <c r="V48" i="1"/>
  <c r="W47" i="1"/>
  <c r="X47" i="1" s="1"/>
  <c r="V47" i="1"/>
  <c r="W46" i="1"/>
  <c r="X46" i="1" s="1"/>
  <c r="V46" i="1"/>
  <c r="W45" i="1"/>
  <c r="X45" i="1" s="1"/>
  <c r="V45" i="1"/>
  <c r="V40" i="1"/>
  <c r="W40" i="1"/>
  <c r="V42" i="1"/>
  <c r="W42" i="1"/>
  <c r="X42" i="1" s="1"/>
  <c r="V43" i="1"/>
  <c r="W43" i="1"/>
  <c r="X43" i="1" s="1"/>
  <c r="V44" i="1"/>
  <c r="W44" i="1"/>
  <c r="X44" i="1" s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1" i="1"/>
  <c r="S3" i="1"/>
  <c r="S4" i="1"/>
  <c r="S5" i="1"/>
  <c r="S6" i="1"/>
  <c r="S7" i="1"/>
  <c r="S2" i="1"/>
  <c r="W39" i="1"/>
  <c r="W41" i="1"/>
  <c r="O64" i="1"/>
  <c r="O63" i="1"/>
  <c r="O62" i="1"/>
  <c r="O59" i="1"/>
  <c r="O58" i="1"/>
  <c r="O57" i="1"/>
  <c r="V39" i="1"/>
  <c r="V41" i="1"/>
  <c r="O61" i="1"/>
  <c r="O5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W2" i="1"/>
  <c r="V2" i="1"/>
  <c r="W27" i="8" l="1"/>
  <c r="X34" i="8"/>
  <c r="W28" i="8"/>
  <c r="V27" i="8"/>
  <c r="R27" i="8" s="1"/>
  <c r="X26" i="8"/>
  <c r="V32" i="8"/>
  <c r="R32" i="8" s="1"/>
  <c r="X33" i="8"/>
  <c r="X11" i="8"/>
  <c r="X35" i="8" s="1"/>
  <c r="S35" i="8" s="1"/>
  <c r="W34" i="8"/>
  <c r="R36" i="8"/>
  <c r="X28" i="8"/>
  <c r="V28" i="8"/>
  <c r="R28" i="8" s="1"/>
  <c r="V34" i="8"/>
  <c r="R34" i="8" s="1"/>
  <c r="V33" i="8"/>
  <c r="R33" i="8" s="1"/>
  <c r="R29" i="8"/>
  <c r="R30" i="8"/>
  <c r="R35" i="8"/>
  <c r="X29" i="8"/>
  <c r="V25" i="8"/>
  <c r="R25" i="8" s="1"/>
  <c r="W25" i="8"/>
  <c r="W29" i="8"/>
  <c r="W32" i="8"/>
  <c r="V26" i="8"/>
  <c r="R26" i="8" s="1"/>
  <c r="W26" i="8"/>
  <c r="W33" i="8"/>
  <c r="I27" i="5"/>
  <c r="I35" i="5"/>
  <c r="I28" i="5"/>
  <c r="J28" i="5"/>
  <c r="I34" i="5"/>
  <c r="I26" i="5"/>
  <c r="I33" i="5"/>
  <c r="I32" i="5"/>
  <c r="I29" i="5"/>
  <c r="I24" i="5"/>
  <c r="X40" i="1"/>
  <c r="X37" i="1"/>
  <c r="X25" i="1"/>
  <c r="X28" i="1"/>
  <c r="X38" i="1"/>
  <c r="X26" i="1"/>
  <c r="X14" i="1"/>
  <c r="X13" i="1"/>
  <c r="X33" i="1"/>
  <c r="X21" i="1"/>
  <c r="R60" i="1"/>
  <c r="W59" i="1"/>
  <c r="X39" i="1"/>
  <c r="X9" i="1"/>
  <c r="X34" i="1"/>
  <c r="X22" i="1"/>
  <c r="X10" i="1"/>
  <c r="V59" i="1"/>
  <c r="R59" i="1" s="1"/>
  <c r="X16" i="1"/>
  <c r="X3" i="1"/>
  <c r="X18" i="1"/>
  <c r="X15" i="1"/>
  <c r="X4" i="1"/>
  <c r="X30" i="1"/>
  <c r="X27" i="1"/>
  <c r="X31" i="1"/>
  <c r="X19" i="1"/>
  <c r="X41" i="1"/>
  <c r="X29" i="1"/>
  <c r="X17" i="1"/>
  <c r="X12" i="1"/>
  <c r="X36" i="1"/>
  <c r="X24" i="1"/>
  <c r="X2" i="1"/>
  <c r="X35" i="1"/>
  <c r="X23" i="1"/>
  <c r="X11" i="1"/>
  <c r="X7" i="1"/>
  <c r="X6" i="1"/>
  <c r="X5" i="1"/>
  <c r="X32" i="1"/>
  <c r="X20" i="1"/>
  <c r="X8" i="1"/>
  <c r="W57" i="1"/>
  <c r="R65" i="1"/>
  <c r="V64" i="1"/>
  <c r="R64" i="1" s="1"/>
  <c r="W64" i="1"/>
  <c r="V63" i="1"/>
  <c r="R63" i="1" s="1"/>
  <c r="V57" i="1"/>
  <c r="R57" i="1" s="1"/>
  <c r="V61" i="1"/>
  <c r="R61" i="1" s="1"/>
  <c r="V62" i="1"/>
  <c r="R62" i="1" s="1"/>
  <c r="W62" i="1"/>
  <c r="W58" i="1"/>
  <c r="W63" i="1"/>
  <c r="W61" i="1"/>
  <c r="W56" i="1"/>
  <c r="V56" i="1"/>
  <c r="R56" i="1" s="1"/>
  <c r="V58" i="1"/>
  <c r="R58" i="1" s="1"/>
  <c r="V55" i="1"/>
  <c r="W55" i="1"/>
  <c r="O55" i="1"/>
  <c r="S36" i="8" l="1"/>
  <c r="S28" i="8"/>
  <c r="X27" i="8"/>
  <c r="S27" i="8" s="1"/>
  <c r="X25" i="8"/>
  <c r="S25" i="8" s="1"/>
  <c r="X32" i="8"/>
  <c r="S32" i="8" s="1"/>
  <c r="S34" i="8"/>
  <c r="S29" i="8"/>
  <c r="S30" i="8"/>
  <c r="S33" i="8"/>
  <c r="S26" i="8"/>
  <c r="J27" i="5"/>
  <c r="J35" i="5"/>
  <c r="J26" i="5"/>
  <c r="J34" i="5"/>
  <c r="X57" i="1"/>
  <c r="S57" i="1" s="1"/>
  <c r="J29" i="5"/>
  <c r="J33" i="5"/>
  <c r="J32" i="5"/>
  <c r="J24" i="5"/>
  <c r="X59" i="1"/>
  <c r="S59" i="1" s="1"/>
  <c r="S60" i="1"/>
  <c r="X64" i="1"/>
  <c r="X62" i="1"/>
  <c r="X63" i="1"/>
  <c r="X61" i="1"/>
  <c r="X58" i="1"/>
  <c r="X56" i="1"/>
  <c r="X55" i="1"/>
  <c r="R55" i="1"/>
  <c r="S56" i="1" l="1"/>
  <c r="S61" i="1"/>
  <c r="S62" i="1"/>
  <c r="S63" i="1"/>
  <c r="S64" i="1"/>
  <c r="S58" i="1"/>
  <c r="S65" i="1"/>
  <c r="S55" i="1"/>
  <c r="J25" i="5" l="1"/>
  <c r="J31" i="5"/>
  <c r="I31" i="5"/>
  <c r="I25" i="5"/>
</calcChain>
</file>

<file path=xl/sharedStrings.xml><?xml version="1.0" encoding="utf-8"?>
<sst xmlns="http://schemas.openxmlformats.org/spreadsheetml/2006/main" count="1273" uniqueCount="195">
  <si>
    <t>2N</t>
  </si>
  <si>
    <t>CLUSTER</t>
  </si>
  <si>
    <t>power_loss</t>
  </si>
  <si>
    <t>Total</t>
  </si>
  <si>
    <t>Config</t>
  </si>
  <si>
    <t>Scope</t>
  </si>
  <si>
    <t>Variable</t>
  </si>
  <si>
    <t>S1</t>
  </si>
  <si>
    <t>S2</t>
  </si>
  <si>
    <t>S3</t>
  </si>
  <si>
    <t>S4</t>
  </si>
  <si>
    <t>S5</t>
  </si>
  <si>
    <t>S6</t>
  </si>
  <si>
    <t>S7</t>
  </si>
  <si>
    <t>NODE</t>
  </si>
  <si>
    <t>min_loss</t>
  </si>
  <si>
    <t>4N</t>
  </si>
  <si>
    <t>total</t>
  </si>
  <si>
    <t>AggregOp</t>
  </si>
  <si>
    <t>Computedate</t>
  </si>
  <si>
    <t>X-Entropyloss</t>
  </si>
  <si>
    <t>Shannonentropie</t>
  </si>
  <si>
    <t>Trivial rate</t>
  </si>
  <si>
    <t>0,370</t>
  </si>
  <si>
    <t>0,853</t>
  </si>
  <si>
    <t>0,028</t>
  </si>
  <si>
    <t>0,041</t>
  </si>
  <si>
    <t>0,346</t>
  </si>
  <si>
    <t>0,800</t>
  </si>
  <si>
    <t>0,205</t>
  </si>
  <si>
    <t>0,936</t>
  </si>
  <si>
    <t>0,064</t>
  </si>
  <si>
    <t>0,139</t>
  </si>
  <si>
    <t>0,196</t>
  </si>
  <si>
    <t>0,916</t>
  </si>
  <si>
    <t>Reliability2 %</t>
  </si>
  <si>
    <t>Reliability1 %</t>
  </si>
  <si>
    <t>weighted 
availb 1</t>
  </si>
  <si>
    <t>weighted 
availb 2</t>
  </si>
  <si>
    <t>TOTAL</t>
  </si>
  <si>
    <t>CLUSTER power_loss</t>
  </si>
  <si>
    <t>CLUSTER none</t>
  </si>
  <si>
    <t>CLUSTER min_loss</t>
  </si>
  <si>
    <t>TOTAL CLUSTER</t>
  </si>
  <si>
    <t>TOTAL NODE</t>
  </si>
  <si>
    <t>NODE none</t>
  </si>
  <si>
    <t>NODEpower_loss</t>
  </si>
  <si>
    <t>NODE min_loss</t>
  </si>
  <si>
    <t>nbslots
* nbvar</t>
  </si>
  <si>
    <t>6,90 %</t>
  </si>
  <si>
    <t>32,59 %</t>
  </si>
  <si>
    <t>45,99 %</t>
  </si>
  <si>
    <t>8,06 %</t>
  </si>
  <si>
    <t>4,93 %</t>
  </si>
  <si>
    <t>0,99 %</t>
  </si>
  <si>
    <t>0,54 %</t>
  </si>
  <si>
    <t>0,000</t>
  </si>
  <si>
    <t>0,794</t>
  </si>
  <si>
    <t>58,31 %</t>
  </si>
  <si>
    <t>21,10 %</t>
  </si>
  <si>
    <t>12,64 %</t>
  </si>
  <si>
    <t>5,31 %</t>
  </si>
  <si>
    <t>1,86 %</t>
  </si>
  <si>
    <t>0,47 %</t>
  </si>
  <si>
    <t>0,31 %</t>
  </si>
  <si>
    <t>0,377</t>
  </si>
  <si>
    <t>8,29 %</t>
  </si>
  <si>
    <t>34,16 %</t>
  </si>
  <si>
    <t>41,52 %</t>
  </si>
  <si>
    <t>9,88 %</t>
  </si>
  <si>
    <t>4,88 %</t>
  </si>
  <si>
    <t>0,75 %</t>
  </si>
  <si>
    <t>0,51 %</t>
  </si>
  <si>
    <t>0,767</t>
  </si>
  <si>
    <t>Nb of Non Trivial predictions</t>
  </si>
  <si>
    <t>Vector differential</t>
  </si>
  <si>
    <t>8,58 %</t>
  </si>
  <si>
    <t>30,82 %</t>
  </si>
  <si>
    <t>48,62 %</t>
  </si>
  <si>
    <t>9,20 %</t>
  </si>
  <si>
    <t>2,08 %</t>
  </si>
  <si>
    <t>0,18 %</t>
  </si>
  <si>
    <t>61,92 %</t>
  </si>
  <si>
    <t>33,40 %</t>
  </si>
  <si>
    <t>4,67 %</t>
  </si>
  <si>
    <t>11,01 %</t>
  </si>
  <si>
    <t>43,03 %</t>
  </si>
  <si>
    <t>35,59 %</t>
  </si>
  <si>
    <t>7,71 %</t>
  </si>
  <si>
    <t>1,99 %</t>
  </si>
  <si>
    <t>0,48 %</t>
  </si>
  <si>
    <t>0,19 %</t>
  </si>
  <si>
    <t>Reliability %</t>
  </si>
  <si>
    <t>Aggreg Op</t>
  </si>
  <si>
    <t>Compute date</t>
  </si>
  <si>
    <t>Success Rate</t>
  </si>
  <si>
    <t>Nb predictions</t>
  </si>
  <si>
    <t>Weight SR2</t>
  </si>
  <si>
    <t>Weight SR1</t>
  </si>
  <si>
    <t>nb of NT predictions</t>
  </si>
  <si>
    <t>Trivial Rate</t>
  </si>
  <si>
    <t>NODE power_loss</t>
  </si>
  <si>
    <t>Nb of predictions</t>
  </si>
  <si>
    <t>Success Rate NT</t>
  </si>
  <si>
    <t>09:00 - 12:00</t>
  </si>
  <si>
    <t>09:00 - 13:00</t>
  </si>
  <si>
    <t xml:space="preserve"> </t>
  </si>
  <si>
    <t>Reliability non trivial %</t>
  </si>
  <si>
    <t>LSTM</t>
  </si>
  <si>
    <t>Pred NB</t>
  </si>
  <si>
    <t>Markov chains-1</t>
  </si>
  <si>
    <t>AVG CLUSTER</t>
  </si>
  <si>
    <t>AVG NODE</t>
  </si>
  <si>
    <t>Markov chains-2</t>
  </si>
  <si>
    <t>Average</t>
  </si>
  <si>
    <t>Average NT</t>
  </si>
  <si>
    <t>Accuracy %</t>
  </si>
  <si>
    <t>Accuracy non trivial %</t>
  </si>
  <si>
    <t>MC1</t>
  </si>
  <si>
    <t>MC2</t>
  </si>
  <si>
    <t>local learning</t>
  </si>
  <si>
    <t>CLUSTER predictions</t>
  </si>
  <si>
    <t>dist_power_hist</t>
  </si>
  <si>
    <t>CLUSTER dist_power_hist</t>
  </si>
  <si>
    <t>NODE dist_power_hist</t>
  </si>
  <si>
    <t>Markov Chains</t>
  </si>
  <si>
    <t xml:space="preserve"> dist_power_hist</t>
  </si>
  <si>
    <t>dist_power_last</t>
  </si>
  <si>
    <t>CLUSTER dist_power_last</t>
  </si>
  <si>
    <t>NODE dist_power_last</t>
  </si>
  <si>
    <t>Markov chains</t>
  </si>
  <si>
    <t>Ensemble Learning</t>
  </si>
  <si>
    <t>Predictions
 NB</t>
  </si>
  <si>
    <t>NODE sampling_nb</t>
  </si>
  <si>
    <t>CLUSTER sampling_nb</t>
  </si>
  <si>
    <t>sampling_nb</t>
  </si>
  <si>
    <t>Target date</t>
  </si>
  <si>
    <t>Time slot</t>
  </si>
  <si>
    <t>Success Rate Non Trivial</t>
  </si>
  <si>
    <t>X-Entropy loss</t>
  </si>
  <si>
    <t>Reliability Non trivial %</t>
  </si>
  <si>
    <t>Shannon entropie</t>
  </si>
  <si>
    <t>Gini Index</t>
  </si>
  <si>
    <t>11,02 %</t>
  </si>
  <si>
    <t>30,11 %</t>
  </si>
  <si>
    <t>17,86 %</t>
  </si>
  <si>
    <t>2,33 %</t>
  </si>
  <si>
    <t>1,71 %</t>
  </si>
  <si>
    <t>1,37 %</t>
  </si>
  <si>
    <t>10,96 %</t>
  </si>
  <si>
    <t>15,93 %</t>
  </si>
  <si>
    <t>4,30 %</t>
  </si>
  <si>
    <t>1,74 %</t>
  </si>
  <si>
    <t>29,68 %</t>
  </si>
  <si>
    <t>35,31 %</t>
  </si>
  <si>
    <t>18,36 %</t>
  </si>
  <si>
    <t>2,46 %</t>
  </si>
  <si>
    <t>1,77 %</t>
  </si>
  <si>
    <t>1,40 %</t>
  </si>
  <si>
    <t>11,18 %</t>
  </si>
  <si>
    <t>29,66 %</t>
  </si>
  <si>
    <t>35,28 %</t>
  </si>
  <si>
    <t>18,27 %</t>
  </si>
  <si>
    <t>2,44 %</t>
  </si>
  <si>
    <t>1,39 %</t>
  </si>
  <si>
    <t>NONE sampling_nb</t>
  </si>
  <si>
    <t>CLUSTER predictions: Federated Learning - vs Ensemble Learning</t>
  </si>
  <si>
    <t>average</t>
  </si>
  <si>
    <t>FDL with Markov Chains</t>
  </si>
  <si>
    <t>FDL with LSTM</t>
  </si>
  <si>
    <t>Avg FDL with Markov Chains</t>
  </si>
  <si>
    <t>Avg FDL with LSTM</t>
  </si>
  <si>
    <t>Avg Ensemble Learning</t>
  </si>
  <si>
    <t>NODE predictions: Federated Learning - vs Ensemble Learning</t>
  </si>
  <si>
    <t>Avg LSTM</t>
  </si>
  <si>
    <t>Avg Markov Chains</t>
  </si>
  <si>
    <t>GFDL with Markov Chains</t>
  </si>
  <si>
    <t>GFDL with LSTM</t>
  </si>
  <si>
    <t>Gossip Ensemble Learning</t>
  </si>
  <si>
    <t>Avg GFDL with Markov Chains</t>
  </si>
  <si>
    <t>Avg GFDL with LSTM</t>
  </si>
  <si>
    <t>Avg Gossip Ensemble Learning</t>
  </si>
  <si>
    <t>Perimeter</t>
  </si>
  <si>
    <t>Aggregator</t>
  </si>
  <si>
    <t>local</t>
  </si>
  <si>
    <t>none</t>
  </si>
  <si>
    <t>AVERAGE</t>
  </si>
  <si>
    <t>Approach</t>
  </si>
  <si>
    <t>Reliability 
non trivial %</t>
  </si>
  <si>
    <t>accuracy_MC_vs_LSTM.png</t>
  </si>
  <si>
    <t>accuracy_MC_by_aggregator.png</t>
  </si>
  <si>
    <t>accuracy_EL_cluster.png</t>
  </si>
  <si>
    <t>accuracy_EL_node.png</t>
  </si>
  <si>
    <t>Cluster predictions</t>
  </si>
  <si>
    <t>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</si>
</sst>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8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 wrapText="1"/>
    </xf>
    <xf numFmtId="0" fontId="1" fillId="3" borderId="0" xfId="0" applyFont="1" applyFill="1"/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164" fontId="1" fillId="2" borderId="0" xfId="0" applyNumberFormat="1" applyFont="1" applyFill="1" applyAlignment="1">
      <alignment horizontal="left" vertical="center" wrapText="1"/>
    </xf>
    <xf numFmtId="164" fontId="1" fillId="0" borderId="0" xfId="0" applyNumberFormat="1" applyFont="1" applyAlignment="1">
      <alignment horizontal="left"/>
    </xf>
    <xf numFmtId="164" fontId="3" fillId="3" borderId="0" xfId="0" applyNumberFormat="1" applyFont="1" applyFill="1" applyAlignment="1">
      <alignment horizontal="left"/>
    </xf>
    <xf numFmtId="10" fontId="4" fillId="3" borderId="0" xfId="0" applyNumberFormat="1" applyFont="1" applyFill="1" applyAlignment="1">
      <alignment horizontal="left" vertical="center" wrapText="1"/>
    </xf>
    <xf numFmtId="164" fontId="0" fillId="3" borderId="0" xfId="0" applyNumberFormat="1" applyFill="1" applyAlignment="1">
      <alignment horizontal="left" vertical="center"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center" wrapText="1"/>
    </xf>
    <xf numFmtId="0" fontId="0" fillId="3" borderId="0" xfId="0" applyFill="1"/>
    <xf numFmtId="0" fontId="0" fillId="0" borderId="0" xfId="0" applyAlignment="1">
      <alignment horizontal="left"/>
    </xf>
    <xf numFmtId="10" fontId="0" fillId="3" borderId="0" xfId="0" applyNumberFormat="1" applyFill="1" applyAlignment="1">
      <alignment horizontal="left" vertical="center" wrapText="1"/>
    </xf>
    <xf numFmtId="10" fontId="4" fillId="3" borderId="0" xfId="0" applyNumberFormat="1" applyFont="1" applyFill="1" applyAlignment="1">
      <alignment horizontal="left"/>
    </xf>
    <xf numFmtId="10" fontId="4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14" fontId="0" fillId="3" borderId="0" xfId="0" applyNumberFormat="1" applyFill="1"/>
    <xf numFmtId="14" fontId="0" fillId="3" borderId="0" xfId="0" applyNumberFormat="1" applyFill="1" applyAlignment="1">
      <alignment vertical="center" wrapText="1"/>
    </xf>
    <xf numFmtId="0" fontId="0" fillId="3" borderId="0" xfId="0" applyFill="1" applyAlignment="1">
      <alignment horizontal="left" vertical="top"/>
    </xf>
    <xf numFmtId="0" fontId="5" fillId="0" borderId="0" xfId="0" applyFont="1"/>
    <xf numFmtId="10" fontId="0" fillId="3" borderId="0" xfId="0" applyNumberFormat="1" applyFill="1" applyAlignment="1">
      <alignment vertical="center" wrapText="1"/>
    </xf>
    <xf numFmtId="10" fontId="0" fillId="3" borderId="0" xfId="0" applyNumberFormat="1" applyFill="1"/>
    <xf numFmtId="10" fontId="0" fillId="3" borderId="0" xfId="0" applyNumberFormat="1" applyFill="1" applyAlignment="1">
      <alignment horizontal="left" vertical="top"/>
    </xf>
    <xf numFmtId="10" fontId="0" fillId="3" borderId="0" xfId="0" applyNumberFormat="1" applyFill="1" applyAlignment="1">
      <alignment horizontal="left"/>
    </xf>
    <xf numFmtId="3" fontId="1" fillId="2" borderId="0" xfId="0" applyNumberFormat="1" applyFont="1" applyFill="1" applyAlignment="1">
      <alignment horizontal="left" vertical="top" wrapText="1"/>
    </xf>
    <xf numFmtId="3" fontId="0" fillId="5" borderId="0" xfId="0" applyNumberFormat="1" applyFill="1" applyAlignment="1">
      <alignment horizontal="left"/>
    </xf>
    <xf numFmtId="3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4" fontId="6" fillId="2" borderId="0" xfId="0" applyNumberFormat="1" applyFont="1" applyFill="1" applyAlignment="1">
      <alignment horizontal="left" vertical="center" wrapText="1"/>
    </xf>
    <xf numFmtId="4" fontId="7" fillId="5" borderId="0" xfId="0" applyNumberFormat="1" applyFont="1" applyFill="1" applyAlignment="1">
      <alignment horizontal="left"/>
    </xf>
    <xf numFmtId="4" fontId="7" fillId="0" borderId="0" xfId="0" applyNumberFormat="1" applyFont="1" applyAlignment="1">
      <alignment horizontal="left"/>
    </xf>
    <xf numFmtId="4" fontId="6" fillId="0" borderId="0" xfId="0" applyNumberFormat="1" applyFont="1" applyAlignment="1">
      <alignment horizontal="left"/>
    </xf>
    <xf numFmtId="10" fontId="4" fillId="3" borderId="0" xfId="0" applyNumberFormat="1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4" fontId="1" fillId="0" borderId="0" xfId="0" applyNumberFormat="1" applyFont="1" applyAlignment="1">
      <alignment horizontal="left" vertical="top"/>
    </xf>
    <xf numFmtId="10" fontId="8" fillId="2" borderId="0" xfId="0" applyNumberFormat="1" applyFont="1" applyFill="1" applyAlignment="1">
      <alignment horizontal="left" vertical="center" wrapText="1"/>
    </xf>
    <xf numFmtId="10" fontId="9" fillId="3" borderId="0" xfId="0" applyNumberFormat="1" applyFont="1" applyFill="1" applyAlignment="1">
      <alignment horizontal="left"/>
    </xf>
    <xf numFmtId="10" fontId="9" fillId="0" borderId="0" xfId="0" applyNumberFormat="1" applyFont="1" applyAlignment="1">
      <alignment horizontal="left"/>
    </xf>
    <xf numFmtId="0" fontId="0" fillId="0" borderId="1" xfId="0" applyBorder="1"/>
    <xf numFmtId="4" fontId="7" fillId="0" borderId="0" xfId="0" applyNumberFormat="1" applyFont="1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7" fillId="0" borderId="2" xfId="0" applyNumberFormat="1" applyFont="1" applyBorder="1" applyAlignment="1">
      <alignment horizontal="left" vertical="top"/>
    </xf>
    <xf numFmtId="4" fontId="7" fillId="0" borderId="2" xfId="0" applyNumberFormat="1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4" fontId="7" fillId="0" borderId="4" xfId="0" applyNumberFormat="1" applyFont="1" applyBorder="1" applyAlignment="1">
      <alignment horizontal="left"/>
    </xf>
    <xf numFmtId="3" fontId="0" fillId="0" borderId="4" xfId="0" applyNumberFormat="1" applyBorder="1" applyAlignment="1">
      <alignment horizontal="left"/>
    </xf>
    <xf numFmtId="4" fontId="7" fillId="0" borderId="5" xfId="0" applyNumberFormat="1" applyFont="1" applyBorder="1" applyAlignment="1">
      <alignment horizontal="left"/>
    </xf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left"/>
    </xf>
    <xf numFmtId="10" fontId="2" fillId="0" borderId="7" xfId="0" applyNumberFormat="1" applyFont="1" applyBorder="1" applyAlignment="1">
      <alignment horizontal="left"/>
    </xf>
    <xf numFmtId="164" fontId="1" fillId="0" borderId="7" xfId="0" applyNumberFormat="1" applyFont="1" applyBorder="1" applyAlignment="1">
      <alignment horizontal="left"/>
    </xf>
    <xf numFmtId="4" fontId="6" fillId="0" borderId="7" xfId="0" applyNumberFormat="1" applyFont="1" applyBorder="1" applyAlignment="1">
      <alignment horizontal="left" vertical="top"/>
    </xf>
    <xf numFmtId="3" fontId="1" fillId="0" borderId="7" xfId="0" applyNumberFormat="1" applyFont="1" applyBorder="1" applyAlignment="1">
      <alignment horizontal="left" vertical="top"/>
    </xf>
    <xf numFmtId="4" fontId="6" fillId="0" borderId="8" xfId="0" applyNumberFormat="1" applyFont="1" applyBorder="1" applyAlignment="1">
      <alignment horizontal="left" vertical="top"/>
    </xf>
    <xf numFmtId="4" fontId="6" fillId="0" borderId="7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left"/>
    </xf>
    <xf numFmtId="4" fontId="6" fillId="0" borderId="8" xfId="0" applyNumberFormat="1" applyFont="1" applyBorder="1" applyAlignment="1">
      <alignment horizontal="left"/>
    </xf>
    <xf numFmtId="0" fontId="0" fillId="2" borderId="0" xfId="0" applyFill="1"/>
    <xf numFmtId="3" fontId="1" fillId="3" borderId="0" xfId="0" applyNumberFormat="1" applyFont="1" applyFill="1" applyAlignment="1">
      <alignment horizontal="left" vertical="top" wrapText="1"/>
    </xf>
    <xf numFmtId="3" fontId="1" fillId="3" borderId="0" xfId="0" applyNumberFormat="1" applyFont="1" applyFill="1" applyAlignment="1">
      <alignment horizontal="left" vertical="center" wrapText="1"/>
    </xf>
    <xf numFmtId="3" fontId="1" fillId="3" borderId="0" xfId="0" applyNumberFormat="1" applyFont="1" applyFill="1" applyAlignment="1">
      <alignment horizontal="left"/>
    </xf>
    <xf numFmtId="3" fontId="1" fillId="0" borderId="0" xfId="0" applyNumberFormat="1" applyFont="1" applyAlignment="1">
      <alignment horizontal="left" vertical="top"/>
    </xf>
    <xf numFmtId="10" fontId="2" fillId="2" borderId="0" xfId="0" applyNumberFormat="1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10" fontId="10" fillId="3" borderId="0" xfId="0" applyNumberFormat="1" applyFont="1" applyFill="1" applyAlignment="1">
      <alignment horizontal="left" vertical="center" wrapText="1"/>
    </xf>
    <xf numFmtId="10" fontId="9" fillId="3" borderId="0" xfId="0" applyNumberFormat="1" applyFont="1" applyFill="1" applyAlignment="1">
      <alignment horizontal="left" vertical="center" wrapText="1"/>
    </xf>
    <xf numFmtId="2" fontId="1" fillId="3" borderId="0" xfId="0" applyNumberFormat="1" applyFont="1" applyFill="1" applyAlignment="1">
      <alignment horizontal="left" vertical="center" wrapText="1"/>
    </xf>
    <xf numFmtId="10" fontId="2" fillId="3" borderId="0" xfId="0" applyNumberFormat="1" applyFont="1" applyFill="1" applyAlignment="1">
      <alignment horizontal="left" vertical="center" wrapText="1"/>
    </xf>
    <xf numFmtId="0" fontId="0" fillId="7" borderId="0" xfId="0" applyFill="1"/>
    <xf numFmtId="10" fontId="8" fillId="3" borderId="0" xfId="0" applyNumberFormat="1" applyFont="1" applyFill="1" applyAlignment="1">
      <alignment horizontal="left" vertical="center" wrapText="1"/>
    </xf>
    <xf numFmtId="10" fontId="4" fillId="4" borderId="4" xfId="0" applyNumberFormat="1" applyFont="1" applyFill="1" applyBorder="1" applyAlignment="1">
      <alignment horizontal="left"/>
    </xf>
    <xf numFmtId="10" fontId="4" fillId="4" borderId="0" xfId="0" applyNumberFormat="1" applyFont="1" applyFill="1" applyAlignment="1">
      <alignment horizontal="left"/>
    </xf>
    <xf numFmtId="2" fontId="1" fillId="0" borderId="0" xfId="0" applyNumberFormat="1" applyFont="1"/>
    <xf numFmtId="2" fontId="0" fillId="0" borderId="0" xfId="0" applyNumberFormat="1"/>
    <xf numFmtId="0" fontId="0" fillId="7" borderId="0" xfId="0" applyFill="1" applyAlignment="1">
      <alignment vertical="center" wrapText="1"/>
    </xf>
    <xf numFmtId="14" fontId="0" fillId="7" borderId="0" xfId="0" applyNumberForma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/>
    <xf numFmtId="10" fontId="11" fillId="7" borderId="0" xfId="0" applyNumberFormat="1" applyFont="1" applyFill="1" applyAlignment="1">
      <alignment vertical="center" wrapText="1"/>
    </xf>
    <xf numFmtId="10" fontId="8" fillId="7" borderId="0" xfId="0" applyNumberFormat="1" applyFont="1" applyFill="1" applyAlignment="1">
      <alignment vertical="center" wrapText="1"/>
    </xf>
    <xf numFmtId="1" fontId="1" fillId="2" borderId="0" xfId="0" applyNumberFormat="1" applyFont="1" applyFill="1" applyAlignment="1">
      <alignment vertical="center" wrapText="1"/>
    </xf>
    <xf numFmtId="1" fontId="0" fillId="0" borderId="0" xfId="0" applyNumberFormat="1"/>
    <xf numFmtId="10" fontId="11" fillId="2" borderId="0" xfId="0" applyNumberFormat="1" applyFont="1" applyFill="1" applyAlignment="1">
      <alignment vertical="center" wrapText="1"/>
    </xf>
    <xf numFmtId="10" fontId="8" fillId="2" borderId="0" xfId="0" applyNumberFormat="1" applyFont="1" applyFill="1" applyAlignment="1">
      <alignment vertical="center" wrapText="1"/>
    </xf>
    <xf numFmtId="10" fontId="0" fillId="0" borderId="0" xfId="0" applyNumberFormat="1"/>
    <xf numFmtId="10" fontId="9" fillId="0" borderId="0" xfId="0" applyNumberFormat="1" applyFont="1"/>
    <xf numFmtId="164" fontId="1" fillId="2" borderId="0" xfId="0" applyNumberFormat="1" applyFont="1" applyFill="1" applyAlignment="1">
      <alignment vertical="center" wrapText="1"/>
    </xf>
    <xf numFmtId="164" fontId="0" fillId="0" borderId="0" xfId="0" applyNumberFormat="1"/>
    <xf numFmtId="164" fontId="1" fillId="7" borderId="0" xfId="0" applyNumberFormat="1" applyFont="1" applyFill="1" applyAlignment="1">
      <alignment vertical="center" wrapText="1"/>
    </xf>
    <xf numFmtId="1" fontId="1" fillId="0" borderId="7" xfId="0" applyNumberFormat="1" applyFont="1" applyBorder="1" applyAlignment="1">
      <alignment horizontal="right" vertical="top"/>
    </xf>
    <xf numFmtId="10" fontId="11" fillId="0" borderId="7" xfId="0" applyNumberFormat="1" applyFont="1" applyBorder="1" applyAlignment="1">
      <alignment horizontal="right"/>
    </xf>
    <xf numFmtId="1" fontId="0" fillId="7" borderId="0" xfId="0" applyNumberFormat="1" applyFill="1" applyAlignment="1">
      <alignment vertical="center" wrapText="1"/>
    </xf>
    <xf numFmtId="4" fontId="6" fillId="0" borderId="0" xfId="0" applyNumberFormat="1" applyFont="1" applyAlignment="1">
      <alignment horizontal="left" vertical="top"/>
    </xf>
    <xf numFmtId="0" fontId="0" fillId="0" borderId="7" xfId="0" applyBorder="1"/>
    <xf numFmtId="1" fontId="1" fillId="0" borderId="7" xfId="0" applyNumberFormat="1" applyFont="1" applyBorder="1"/>
    <xf numFmtId="0" fontId="0" fillId="0" borderId="9" xfId="0" applyBorder="1"/>
    <xf numFmtId="0" fontId="0" fillId="0" borderId="10" xfId="0" applyBorder="1"/>
    <xf numFmtId="1" fontId="0" fillId="0" borderId="10" xfId="0" applyNumberFormat="1" applyBorder="1"/>
    <xf numFmtId="10" fontId="12" fillId="0" borderId="10" xfId="0" applyNumberFormat="1" applyFont="1" applyBorder="1" applyAlignment="1">
      <alignment horizontal="right"/>
    </xf>
    <xf numFmtId="1" fontId="0" fillId="0" borderId="4" xfId="0" applyNumberFormat="1" applyBorder="1"/>
    <xf numFmtId="10" fontId="12" fillId="0" borderId="4" xfId="0" applyNumberFormat="1" applyFont="1" applyBorder="1" applyAlignment="1">
      <alignment horizontal="right"/>
    </xf>
    <xf numFmtId="0" fontId="1" fillId="7" borderId="0" xfId="0" applyFont="1" applyFill="1" applyAlignment="1">
      <alignment vertical="center" wrapText="1"/>
    </xf>
    <xf numFmtId="10" fontId="12" fillId="0" borderId="0" xfId="0" applyNumberFormat="1" applyFont="1"/>
    <xf numFmtId="10" fontId="1" fillId="7" borderId="0" xfId="0" applyNumberFormat="1" applyFont="1" applyFill="1" applyAlignment="1">
      <alignment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 wrapText="1"/>
    </xf>
    <xf numFmtId="10" fontId="2" fillId="4" borderId="7" xfId="0" applyNumberFormat="1" applyFont="1" applyFill="1" applyBorder="1" applyAlignment="1">
      <alignment horizontal="left"/>
    </xf>
    <xf numFmtId="10" fontId="15" fillId="0" borderId="7" xfId="0" applyNumberFormat="1" applyFont="1" applyBorder="1" applyAlignment="1">
      <alignment horizontal="right"/>
    </xf>
    <xf numFmtId="10" fontId="16" fillId="0" borderId="10" xfId="0" applyNumberFormat="1" applyFont="1" applyBorder="1" applyAlignment="1">
      <alignment horizontal="right"/>
    </xf>
    <xf numFmtId="10" fontId="16" fillId="0" borderId="4" xfId="0" applyNumberFormat="1" applyFont="1" applyBorder="1" applyAlignment="1">
      <alignment horizontal="right"/>
    </xf>
    <xf numFmtId="10" fontId="15" fillId="0" borderId="7" xfId="0" applyNumberFormat="1" applyFont="1" applyBorder="1" applyAlignment="1">
      <alignment horizontal="left"/>
    </xf>
    <xf numFmtId="10" fontId="16" fillId="6" borderId="0" xfId="0" applyNumberFormat="1" applyFont="1" applyFill="1" applyAlignment="1">
      <alignment horizontal="left"/>
    </xf>
    <xf numFmtId="10" fontId="16" fillId="0" borderId="0" xfId="0" applyNumberFormat="1" applyFont="1" applyAlignment="1">
      <alignment horizontal="left"/>
    </xf>
    <xf numFmtId="10" fontId="16" fillId="8" borderId="0" xfId="0" applyNumberFormat="1" applyFont="1" applyFill="1" applyAlignment="1">
      <alignment horizontal="left"/>
    </xf>
    <xf numFmtId="10" fontId="16" fillId="4" borderId="4" xfId="0" applyNumberFormat="1" applyFont="1" applyFill="1" applyBorder="1" applyAlignment="1">
      <alignment horizontal="left"/>
    </xf>
    <xf numFmtId="10" fontId="16" fillId="4" borderId="0" xfId="0" applyNumberFormat="1" applyFont="1" applyFill="1" applyAlignment="1">
      <alignment horizontal="left"/>
    </xf>
    <xf numFmtId="3" fontId="0" fillId="0" borderId="0" xfId="0" applyNumberFormat="1"/>
    <xf numFmtId="2" fontId="0" fillId="0" borderId="2" xfId="0" applyNumberFormat="1" applyBorder="1"/>
    <xf numFmtId="10" fontId="0" fillId="0" borderId="2" xfId="0" applyNumberFormat="1" applyBorder="1"/>
    <xf numFmtId="10" fontId="0" fillId="0" borderId="4" xfId="0" applyNumberFormat="1" applyBorder="1"/>
    <xf numFmtId="4" fontId="14" fillId="0" borderId="0" xfId="0" applyNumberFormat="1" applyFont="1" applyAlignment="1">
      <alignment vertical="top"/>
    </xf>
    <xf numFmtId="10" fontId="10" fillId="0" borderId="0" xfId="0" applyNumberFormat="1" applyFont="1"/>
    <xf numFmtId="0" fontId="8" fillId="0" borderId="0" xfId="0" applyFont="1"/>
    <xf numFmtId="0" fontId="9" fillId="0" borderId="0" xfId="0" applyFont="1"/>
    <xf numFmtId="3" fontId="1" fillId="7" borderId="0" xfId="0" applyNumberFormat="1" applyFont="1" applyFill="1" applyAlignment="1">
      <alignment horizontal="left" vertical="center" wrapText="1"/>
    </xf>
    <xf numFmtId="0" fontId="1" fillId="0" borderId="0" xfId="0" applyFont="1" applyAlignment="1">
      <alignment horizontal="center"/>
    </xf>
    <xf numFmtId="10" fontId="0" fillId="0" borderId="5" xfId="0" applyNumberFormat="1" applyBorder="1"/>
    <xf numFmtId="0" fontId="1" fillId="7" borderId="12" xfId="0" applyFont="1" applyFill="1" applyBorder="1" applyAlignment="1">
      <alignment horizontal="center" vertical="center"/>
    </xf>
    <xf numFmtId="2" fontId="2" fillId="7" borderId="12" xfId="0" applyNumberFormat="1" applyFont="1" applyFill="1" applyBorder="1" applyAlignment="1">
      <alignment horizontal="center" vertical="center" wrapText="1"/>
    </xf>
    <xf numFmtId="2" fontId="8" fillId="7" borderId="12" xfId="0" applyNumberFormat="1" applyFont="1" applyFill="1" applyBorder="1" applyAlignment="1">
      <alignment horizontal="center" vertical="center" wrapText="1"/>
    </xf>
    <xf numFmtId="0" fontId="0" fillId="7" borderId="12" xfId="0" applyFill="1" applyBorder="1"/>
    <xf numFmtId="2" fontId="0" fillId="7" borderId="12" xfId="0" applyNumberFormat="1" applyFill="1" applyBorder="1"/>
    <xf numFmtId="0" fontId="1" fillId="7" borderId="12" xfId="0" applyFont="1" applyFill="1" applyBorder="1" applyAlignment="1">
      <alignment horizontal="center"/>
    </xf>
    <xf numFmtId="0" fontId="1" fillId="7" borderId="12" xfId="0" applyFont="1" applyFill="1" applyBorder="1" applyAlignment="1">
      <alignment vertical="center"/>
    </xf>
    <xf numFmtId="0" fontId="0" fillId="0" borderId="12" xfId="0" applyBorder="1"/>
    <xf numFmtId="3" fontId="1" fillId="0" borderId="9" xfId="0" applyNumberFormat="1" applyFont="1" applyBorder="1"/>
    <xf numFmtId="10" fontId="1" fillId="0" borderId="10" xfId="0" applyNumberFormat="1" applyFont="1" applyBorder="1"/>
    <xf numFmtId="10" fontId="1" fillId="0" borderId="11" xfId="0" applyNumberFormat="1" applyFont="1" applyBorder="1"/>
    <xf numFmtId="3" fontId="1" fillId="0" borderId="1" xfId="0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3" fontId="0" fillId="0" borderId="1" xfId="0" applyNumberFormat="1" applyBorder="1"/>
    <xf numFmtId="3" fontId="0" fillId="0" borderId="3" xfId="0" applyNumberFormat="1" applyBorder="1"/>
    <xf numFmtId="0" fontId="1" fillId="0" borderId="13" xfId="0" applyFont="1" applyBorder="1"/>
    <xf numFmtId="0" fontId="1" fillId="0" borderId="14" xfId="0" applyFont="1" applyBorder="1"/>
    <xf numFmtId="0" fontId="0" fillId="0" borderId="14" xfId="0" applyBorder="1"/>
    <xf numFmtId="0" fontId="0" fillId="0" borderId="15" xfId="0" applyBorder="1"/>
    <xf numFmtId="0" fontId="0" fillId="7" borderId="12" xfId="0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10" fontId="1" fillId="2" borderId="0" xfId="0" applyNumberFormat="1" applyFont="1" applyFill="1" applyAlignment="1">
      <alignment vertical="center" wrapText="1"/>
    </xf>
    <xf numFmtId="10" fontId="12" fillId="0" borderId="0" xfId="0" applyNumberFormat="1" applyFont="1" applyAlignment="1">
      <alignment horizontal="right"/>
    </xf>
    <xf numFmtId="10" fontId="16" fillId="0" borderId="0" xfId="0" applyNumberFormat="1" applyFont="1" applyAlignment="1">
      <alignment horizontal="right"/>
    </xf>
    <xf numFmtId="10" fontId="15" fillId="0" borderId="7" xfId="0" applyNumberFormat="1" applyFont="1" applyBorder="1"/>
    <xf numFmtId="10" fontId="11" fillId="0" borderId="7" xfId="0" applyNumberFormat="1" applyFont="1" applyBorder="1"/>
    <xf numFmtId="10" fontId="12" fillId="4" borderId="0" xfId="0" applyNumberFormat="1" applyFont="1" applyFill="1"/>
    <xf numFmtId="10" fontId="16" fillId="4" borderId="0" xfId="0" applyNumberFormat="1" applyFont="1" applyFill="1"/>
    <xf numFmtId="3" fontId="0" fillId="0" borderId="10" xfId="0" applyNumberFormat="1" applyBorder="1" applyAlignment="1">
      <alignment horizontal="left" vertical="top"/>
    </xf>
    <xf numFmtId="0" fontId="0" fillId="0" borderId="10" xfId="0" applyBorder="1" applyAlignment="1">
      <alignment horizontal="left"/>
    </xf>
    <xf numFmtId="10" fontId="12" fillId="4" borderId="10" xfId="0" applyNumberFormat="1" applyFont="1" applyFill="1" applyBorder="1"/>
    <xf numFmtId="10" fontId="16" fillId="4" borderId="10" xfId="0" applyNumberFormat="1" applyFont="1" applyFill="1" applyBorder="1"/>
    <xf numFmtId="164" fontId="1" fillId="0" borderId="10" xfId="0" applyNumberFormat="1" applyFont="1" applyBorder="1" applyAlignment="1">
      <alignment horizontal="left"/>
    </xf>
    <xf numFmtId="4" fontId="7" fillId="0" borderId="10" xfId="0" applyNumberFormat="1" applyFont="1" applyBorder="1" applyAlignment="1">
      <alignment horizontal="left" vertical="top"/>
    </xf>
    <xf numFmtId="4" fontId="7" fillId="0" borderId="11" xfId="0" applyNumberFormat="1" applyFont="1" applyBorder="1" applyAlignment="1">
      <alignment horizontal="left" vertical="top"/>
    </xf>
    <xf numFmtId="3" fontId="0" fillId="0" borderId="10" xfId="0" applyNumberFormat="1" applyBorder="1" applyAlignment="1">
      <alignment horizontal="left"/>
    </xf>
    <xf numFmtId="4" fontId="7" fillId="0" borderId="10" xfId="0" applyNumberFormat="1" applyFont="1" applyBorder="1" applyAlignment="1">
      <alignment horizontal="left"/>
    </xf>
    <xf numFmtId="4" fontId="7" fillId="0" borderId="11" xfId="0" applyNumberFormat="1" applyFont="1" applyBorder="1" applyAlignment="1">
      <alignment horizontal="left"/>
    </xf>
    <xf numFmtId="10" fontId="12" fillId="9" borderId="0" xfId="0" applyNumberFormat="1" applyFont="1" applyFill="1"/>
    <xf numFmtId="3" fontId="0" fillId="0" borderId="4" xfId="0" applyNumberFormat="1" applyBorder="1" applyAlignment="1">
      <alignment horizontal="left" vertical="top"/>
    </xf>
    <xf numFmtId="10" fontId="0" fillId="0" borderId="13" xfId="0" applyNumberFormat="1" applyBorder="1"/>
    <xf numFmtId="10" fontId="0" fillId="0" borderId="15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10" fontId="0" fillId="0" borderId="14" xfId="0" applyNumberFormat="1" applyBorder="1"/>
    <xf numFmtId="2" fontId="8" fillId="7" borderId="8" xfId="0" applyNumberFormat="1" applyFont="1" applyFill="1" applyBorder="1" applyAlignment="1">
      <alignment horizontal="center" vertical="center" wrapText="1"/>
    </xf>
    <xf numFmtId="10" fontId="1" fillId="0" borderId="13" xfId="0" applyNumberFormat="1" applyFont="1" applyBorder="1"/>
    <xf numFmtId="10" fontId="1" fillId="0" borderId="14" xfId="0" applyNumberFormat="1" applyFont="1" applyBorder="1"/>
    <xf numFmtId="0" fontId="0" fillId="0" borderId="13" xfId="0" applyBorder="1"/>
    <xf numFmtId="0" fontId="0" fillId="7" borderId="15" xfId="0" applyFill="1" applyBorder="1"/>
    <xf numFmtId="2" fontId="0" fillId="7" borderId="15" xfId="0" applyNumberFormat="1" applyFill="1" applyBorder="1"/>
    <xf numFmtId="10" fontId="2" fillId="7" borderId="0" xfId="0" applyNumberFormat="1" applyFont="1" applyFill="1" applyAlignment="1">
      <alignment vertical="center" wrapText="1"/>
    </xf>
    <xf numFmtId="0" fontId="0" fillId="0" borderId="7" xfId="0" applyBorder="1" applyAlignment="1">
      <alignment horizontal="left"/>
    </xf>
    <xf numFmtId="1" fontId="1" fillId="0" borderId="10" xfId="0" applyNumberFormat="1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0" xfId="0" applyFont="1" applyBorder="1" applyAlignment="1">
      <alignment horizontal="left"/>
    </xf>
    <xf numFmtId="10" fontId="11" fillId="0" borderId="10" xfId="0" applyNumberFormat="1" applyFont="1" applyBorder="1" applyAlignment="1">
      <alignment horizontal="right"/>
    </xf>
    <xf numFmtId="10" fontId="15" fillId="0" borderId="10" xfId="0" applyNumberFormat="1" applyFont="1" applyBorder="1" applyAlignment="1">
      <alignment horizontal="right"/>
    </xf>
    <xf numFmtId="4" fontId="7" fillId="2" borderId="0" xfId="0" applyNumberFormat="1" applyFont="1" applyFill="1" applyAlignment="1">
      <alignment vertical="center" wrapText="1"/>
    </xf>
    <xf numFmtId="4" fontId="7" fillId="7" borderId="0" xfId="0" applyNumberFormat="1" applyFont="1" applyFill="1" applyAlignment="1">
      <alignment vertical="center" wrapText="1"/>
    </xf>
    <xf numFmtId="4" fontId="6" fillId="0" borderId="7" xfId="0" applyNumberFormat="1" applyFont="1" applyBorder="1" applyAlignment="1">
      <alignment horizontal="right" vertical="top"/>
    </xf>
    <xf numFmtId="4" fontId="6" fillId="0" borderId="10" xfId="0" applyNumberFormat="1" applyFont="1" applyBorder="1"/>
    <xf numFmtId="4" fontId="7" fillId="0" borderId="10" xfId="0" applyNumberFormat="1" applyFont="1" applyBorder="1"/>
    <xf numFmtId="4" fontId="7" fillId="0" borderId="0" xfId="0" applyNumberFormat="1" applyFont="1"/>
    <xf numFmtId="4" fontId="7" fillId="0" borderId="4" xfId="0" applyNumberFormat="1" applyFont="1" applyBorder="1"/>
    <xf numFmtId="4" fontId="6" fillId="0" borderId="7" xfId="0" applyNumberFormat="1" applyFont="1" applyBorder="1"/>
    <xf numFmtId="4" fontId="6" fillId="0" borderId="8" xfId="0" applyNumberFormat="1" applyFont="1" applyBorder="1" applyAlignment="1">
      <alignment horizontal="right" vertical="top"/>
    </xf>
    <xf numFmtId="4" fontId="6" fillId="0" borderId="11" xfId="0" applyNumberFormat="1" applyFont="1" applyBorder="1"/>
    <xf numFmtId="4" fontId="7" fillId="0" borderId="11" xfId="0" applyNumberFormat="1" applyFont="1" applyBorder="1"/>
    <xf numFmtId="4" fontId="7" fillId="0" borderId="2" xfId="0" applyNumberFormat="1" applyFont="1" applyBorder="1"/>
    <xf numFmtId="4" fontId="7" fillId="0" borderId="5" xfId="0" applyNumberFormat="1" applyFont="1" applyBorder="1"/>
    <xf numFmtId="4" fontId="6" fillId="0" borderId="8" xfId="0" applyNumberFormat="1" applyFont="1" applyBorder="1"/>
    <xf numFmtId="0" fontId="17" fillId="7" borderId="0" xfId="0" applyFont="1" applyFill="1" applyAlignment="1">
      <alignment vertical="center" wrapText="1"/>
    </xf>
    <xf numFmtId="0" fontId="0" fillId="2" borderId="12" xfId="0" applyFill="1" applyBorder="1" applyAlignment="1">
      <alignment horizontal="center" vertical="center" wrapText="1"/>
    </xf>
    <xf numFmtId="2" fontId="8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/>
    </xf>
    <xf numFmtId="3" fontId="1" fillId="0" borderId="0" xfId="0" applyNumberFormat="1" applyFont="1"/>
    <xf numFmtId="10" fontId="14" fillId="7" borderId="0" xfId="0" applyNumberFormat="1" applyFont="1" applyFill="1" applyAlignment="1">
      <alignment vertical="center" wrapText="1"/>
    </xf>
    <xf numFmtId="3" fontId="1" fillId="2" borderId="0" xfId="0" applyNumberFormat="1" applyFont="1" applyFill="1" applyAlignment="1">
      <alignment vertical="center" wrapText="1"/>
    </xf>
    <xf numFmtId="3" fontId="1" fillId="7" borderId="0" xfId="0" applyNumberFormat="1" applyFont="1" applyFill="1" applyAlignment="1">
      <alignment vertical="center" wrapText="1"/>
    </xf>
    <xf numFmtId="3" fontId="1" fillId="0" borderId="7" xfId="0" applyNumberFormat="1" applyFont="1" applyBorder="1" applyAlignment="1">
      <alignment horizontal="right" vertical="top"/>
    </xf>
    <xf numFmtId="3" fontId="1" fillId="0" borderId="10" xfId="0" applyNumberFormat="1" applyFont="1" applyBorder="1"/>
    <xf numFmtId="3" fontId="0" fillId="0" borderId="10" xfId="0" applyNumberFormat="1" applyBorder="1"/>
    <xf numFmtId="3" fontId="0" fillId="0" borderId="4" xfId="0" applyNumberFormat="1" applyBorder="1"/>
    <xf numFmtId="3" fontId="1" fillId="0" borderId="7" xfId="0" applyNumberFormat="1" applyFont="1" applyBorder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0" fontId="18" fillId="7" borderId="0" xfId="0" applyNumberFormat="1" applyFont="1" applyFill="1" applyAlignment="1">
      <alignment vertical="center" wrapText="1"/>
    </xf>
    <xf numFmtId="10" fontId="19" fillId="2" borderId="0" xfId="0" applyNumberFormat="1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17" fillId="2" borderId="0" xfId="0" applyFont="1" applyFill="1" applyAlignment="1">
      <alignment vertical="center" wrapText="1"/>
    </xf>
    <xf numFmtId="14" fontId="12" fillId="7" borderId="0" xfId="0" applyNumberFormat="1" applyFont="1" applyFill="1" applyAlignment="1">
      <alignment vertical="center" wrapText="1"/>
    </xf>
    <xf numFmtId="14" fontId="12" fillId="2" borderId="0" xfId="0" applyNumberFormat="1" applyFont="1" applyFill="1" applyAlignment="1">
      <alignment vertical="center" wrapText="1"/>
    </xf>
    <xf numFmtId="10" fontId="20" fillId="2" borderId="0" xfId="0" applyNumberFormat="1" applyFont="1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4" fontId="7" fillId="7" borderId="0" xfId="0" applyNumberFormat="1" applyFont="1" applyFill="1" applyAlignment="1">
      <alignment horizontal="left"/>
    </xf>
    <xf numFmtId="3" fontId="0" fillId="7" borderId="0" xfId="0" applyNumberFormat="1" applyFill="1" applyAlignment="1">
      <alignment horizontal="left"/>
    </xf>
    <xf numFmtId="3" fontId="1" fillId="4" borderId="0" xfId="0" applyNumberFormat="1" applyFont="1" applyFill="1" applyAlignment="1">
      <alignment horizontal="left" vertical="top" wrapText="1"/>
    </xf>
    <xf numFmtId="3" fontId="1" fillId="2" borderId="0" xfId="0" applyNumberFormat="1" applyFont="1" applyFill="1" applyAlignment="1">
      <alignment horizontal="left" vertical="center" wrapText="1"/>
    </xf>
    <xf numFmtId="10" fontId="21" fillId="7" borderId="0" xfId="0" applyNumberFormat="1" applyFont="1" applyFill="1" applyAlignment="1">
      <alignment vertical="center" wrapText="1"/>
    </xf>
    <xf numFmtId="3" fontId="1" fillId="0" borderId="13" xfId="0" applyNumberFormat="1" applyFont="1" applyBorder="1"/>
    <xf numFmtId="3" fontId="0" fillId="0" borderId="14" xfId="0" applyNumberFormat="1" applyBorder="1"/>
    <xf numFmtId="3" fontId="0" fillId="0" borderId="15" xfId="0" applyNumberFormat="1" applyBorder="1"/>
    <xf numFmtId="10" fontId="0" fillId="0" borderId="11" xfId="0" applyNumberFormat="1" applyBorder="1"/>
    <xf numFmtId="2" fontId="0" fillId="0" borderId="15" xfId="0" applyNumberFormat="1" applyBorder="1"/>
    <xf numFmtId="10" fontId="0" fillId="0" borderId="10" xfId="0" applyNumberFormat="1" applyBorder="1"/>
    <xf numFmtId="0" fontId="0" fillId="7" borderId="6" xfId="0" applyFill="1" applyBorder="1"/>
    <xf numFmtId="0" fontId="0" fillId="7" borderId="7" xfId="0" applyFill="1" applyBorder="1"/>
    <xf numFmtId="2" fontId="0" fillId="7" borderId="7" xfId="0" applyNumberFormat="1" applyFill="1" applyBorder="1"/>
    <xf numFmtId="2" fontId="0" fillId="7" borderId="8" xfId="0" applyNumberFormat="1" applyFill="1" applyBorder="1"/>
    <xf numFmtId="0" fontId="0" fillId="4" borderId="0" xfId="0" applyFill="1" applyAlignment="1">
      <alignment horizontal="center"/>
    </xf>
    <xf numFmtId="0" fontId="0" fillId="7" borderId="12" xfId="0" applyFill="1" applyBorder="1" applyAlignment="1">
      <alignment horizontal="center" vertical="center"/>
    </xf>
    <xf numFmtId="2" fontId="0" fillId="0" borderId="11" xfId="0" applyNumberFormat="1" applyBorder="1"/>
    <xf numFmtId="2" fontId="0" fillId="0" borderId="5" xfId="0" applyNumberFormat="1" applyBorder="1"/>
    <xf numFmtId="0" fontId="0" fillId="0" borderId="0" xfId="0" applyAlignment="1">
      <alignment horizontal="center" vertical="center"/>
    </xf>
    <xf numFmtId="0" fontId="0" fillId="7" borderId="8" xfId="0" applyFill="1" applyBorder="1"/>
    <xf numFmtId="0" fontId="0" fillId="0" borderId="6" xfId="0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10" fontId="1" fillId="0" borderId="12" xfId="0" applyNumberFormat="1" applyFont="1" applyBorder="1"/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ossip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erated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earning with LSTM , at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cluster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level: comparing the aggregators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Summary!$C$38</c:f>
              <c:strCache>
                <c:ptCount val="1"/>
                <c:pt idx="0">
                  <c:v>Accuracy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B33-48AC-B439-9B35887B13F4}"/>
              </c:ext>
            </c:extLst>
          </c:dPt>
          <c:cat>
            <c:strRef>
              <c:f>Summary!$B$39:$B$43</c:f>
              <c:strCache>
                <c:ptCount val="5"/>
                <c:pt idx="0">
                  <c:v>local learning</c:v>
                </c:pt>
                <c:pt idx="1">
                  <c:v>power_loss</c:v>
                </c:pt>
                <c:pt idx="2">
                  <c:v>min_loss</c:v>
                </c:pt>
                <c:pt idx="3">
                  <c:v>sampling_nb</c:v>
                </c:pt>
                <c:pt idx="4">
                  <c:v>dist_power_hist</c:v>
                </c:pt>
              </c:strCache>
            </c:strRef>
          </c:cat>
          <c:val>
            <c:numRef>
              <c:f>Summary!$C$39:$C$43</c:f>
              <c:numCache>
                <c:formatCode>0.00%</c:formatCode>
                <c:ptCount val="5"/>
                <c:pt idx="0">
                  <c:v>0.8643530120481927</c:v>
                </c:pt>
                <c:pt idx="1">
                  <c:v>0.89029999999999998</c:v>
                </c:pt>
                <c:pt idx="2">
                  <c:v>0.90029999999999999</c:v>
                </c:pt>
                <c:pt idx="3">
                  <c:v>0.89080000000000004</c:v>
                </c:pt>
                <c:pt idx="4">
                  <c:v>0.89980000000000004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A-4386-9C46-E0D941AB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4206400"/>
        <c:axId val="284398800"/>
      </c:barChart>
      <c:lineChart>
        <c:grouping val="standard"/>
        <c:varyColors val="0"/>
        <c:ser>
          <c:idx val="1"/>
          <c:order val="1"/>
          <c:tx>
            <c:strRef>
              <c:f>Summary!$D$38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021888680425314E-2"/>
                  <c:y val="-9.88424820318049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AVG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F5A-4386-9C46-E0D941AB98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Summary!$D$39:$D$43</c:f>
              <c:numCache>
                <c:formatCode>0.00%</c:formatCode>
                <c:ptCount val="5"/>
                <c:pt idx="0">
                  <c:v>0.88387458786587414</c:v>
                </c:pt>
                <c:pt idx="1">
                  <c:v>0.88387458786587414</c:v>
                </c:pt>
                <c:pt idx="2">
                  <c:v>0.88387458786587414</c:v>
                </c:pt>
                <c:pt idx="3">
                  <c:v>0.88387458786587414</c:v>
                </c:pt>
                <c:pt idx="4">
                  <c:v>0.88387458786587414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A-4386-9C46-E0D941AB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206400"/>
        <c:axId val="284398800"/>
      </c:lineChart>
      <c:catAx>
        <c:axId val="150420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Aggregator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4398800"/>
        <c:crosses val="autoZero"/>
        <c:auto val="1"/>
        <c:lblAlgn val="ctr"/>
        <c:lblOffset val="100"/>
        <c:noMultiLvlLbl val="0"/>
      </c:catAx>
      <c:valAx>
        <c:axId val="2843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Average of accuracies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0420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prediction accuracy MC1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'old-Summary'!$B$19</c:f>
              <c:strCache>
                <c:ptCount val="1"/>
                <c:pt idx="0">
                  <c:v>Accuracy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'old-Summary'!$A$20:$A$23</c:f>
              <c:strCache>
                <c:ptCount val="4"/>
                <c:pt idx="0">
                  <c:v>CLUSTER none</c:v>
                </c:pt>
                <c:pt idx="1">
                  <c:v>CLUSTER power_loss</c:v>
                </c:pt>
                <c:pt idx="2">
                  <c:v>CLUSTER min_loss</c:v>
                </c:pt>
                <c:pt idx="3">
                  <c:v>CLUSTER sampling_nb</c:v>
                </c:pt>
              </c:strCache>
            </c:strRef>
          </c:cat>
          <c:val>
            <c:numRef>
              <c:f>'old-Summary'!$B$20:$B$23</c:f>
              <c:numCache>
                <c:formatCode>0.00%</c:formatCode>
                <c:ptCount val="4"/>
                <c:pt idx="0">
                  <c:v>0.71991810265811174</c:v>
                </c:pt>
                <c:pt idx="1">
                  <c:v>0.78817365984930021</c:v>
                </c:pt>
                <c:pt idx="2">
                  <c:v>0.79453115159401433</c:v>
                </c:pt>
                <c:pt idx="3">
                  <c:v>0.76810334401709401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6-42B0-8D39-26B90FD76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4206400"/>
        <c:axId val="284398800"/>
      </c:barChart>
      <c:lineChart>
        <c:grouping val="standard"/>
        <c:varyColors val="0"/>
        <c:ser>
          <c:idx val="1"/>
          <c:order val="1"/>
          <c:tx>
            <c:strRef>
              <c:f>'old-Summary'!$C$19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23889931207004378"/>
                  <c:y val="-7.3229106418613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AVG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99500672172076"/>
                      <c:h val="6.187881669570401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D-747F-487E-B3AB-61848CC20F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'old-Summary'!$C$20:$C$23</c:f>
              <c:numCache>
                <c:formatCode>0.00%</c:formatCode>
                <c:ptCount val="4"/>
                <c:pt idx="0">
                  <c:v>0.77208888801509923</c:v>
                </c:pt>
                <c:pt idx="1">
                  <c:v>0.77208888801509923</c:v>
                </c:pt>
                <c:pt idx="2">
                  <c:v>0.77208888801509923</c:v>
                </c:pt>
                <c:pt idx="3">
                  <c:v>0.77208888801509923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7F-487E-B3AB-61848CC2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206400"/>
        <c:axId val="284398800"/>
      </c:lineChart>
      <c:catAx>
        <c:axId val="15042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4398800"/>
        <c:crosses val="autoZero"/>
        <c:auto val="1"/>
        <c:lblAlgn val="ctr"/>
        <c:lblOffset val="100"/>
        <c:noMultiLvlLbl val="0"/>
      </c:catAx>
      <c:valAx>
        <c:axId val="2843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0420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node  prediction accuracy MC1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'old-Summary'!$B$19</c:f>
              <c:strCache>
                <c:ptCount val="1"/>
                <c:pt idx="0">
                  <c:v>Accuracy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'old-Summary'!$A$24:$A$27</c:f>
              <c:strCache>
                <c:ptCount val="4"/>
                <c:pt idx="0">
                  <c:v>NODE none</c:v>
                </c:pt>
                <c:pt idx="1">
                  <c:v>NODEpower_loss</c:v>
                </c:pt>
                <c:pt idx="2">
                  <c:v>NODE min_loss</c:v>
                </c:pt>
                <c:pt idx="3">
                  <c:v>NODE sampling_nb</c:v>
                </c:pt>
              </c:strCache>
            </c:strRef>
          </c:cat>
          <c:val>
            <c:numRef>
              <c:f>'old-Summary'!$B$24:$B$27</c:f>
              <c:numCache>
                <c:formatCode>0.00%</c:formatCode>
                <c:ptCount val="4"/>
                <c:pt idx="0">
                  <c:v>0.88859009052504523</c:v>
                </c:pt>
                <c:pt idx="1">
                  <c:v>0.89909637461547232</c:v>
                </c:pt>
                <c:pt idx="2">
                  <c:v>0.85678279908226818</c:v>
                </c:pt>
                <c:pt idx="3">
                  <c:v>0.8038281656277827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5-4F1A-872F-B81E1E6AE2F6}"/>
            </c:ext>
          </c:extLst>
        </c:ser>
        <c:ser>
          <c:idx val="1"/>
          <c:order val="1"/>
          <c:tx>
            <c:strRef>
              <c:f>'old-Summary'!$D$19</c:f>
              <c:strCache>
                <c:ptCount val="1"/>
                <c:pt idx="0">
                  <c:v>Accuracy non trivial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'old-Summary'!$A$24:$A$27</c:f>
              <c:strCache>
                <c:ptCount val="4"/>
                <c:pt idx="0">
                  <c:v>NODE none</c:v>
                </c:pt>
                <c:pt idx="1">
                  <c:v>NODEpower_loss</c:v>
                </c:pt>
                <c:pt idx="2">
                  <c:v>NODE min_loss</c:v>
                </c:pt>
                <c:pt idx="3">
                  <c:v>NODE sampling_nb</c:v>
                </c:pt>
              </c:strCache>
            </c:strRef>
          </c:cat>
          <c:val>
            <c:numRef>
              <c:f>'old-Summary'!$D$24:$D$27</c:f>
              <c:numCache>
                <c:formatCode>0.00%</c:formatCode>
                <c:ptCount val="4"/>
                <c:pt idx="0">
                  <c:v>0.84078415780589666</c:v>
                </c:pt>
                <c:pt idx="1">
                  <c:v>0.86139034868743336</c:v>
                </c:pt>
                <c:pt idx="2">
                  <c:v>0.80784710642040469</c:v>
                </c:pt>
                <c:pt idx="3">
                  <c:v>0.76504810950136626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5-4F1A-872F-B81E1E6AE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7240863"/>
        <c:axId val="279478480"/>
      </c:barChart>
      <c:lineChart>
        <c:grouping val="standard"/>
        <c:varyColors val="0"/>
        <c:ser>
          <c:idx val="2"/>
          <c:order val="2"/>
          <c:tx>
            <c:strRef>
              <c:f>'old-Summary'!$C$19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'old-Summary'!$C$24:$C$27</c:f>
              <c:numCache>
                <c:formatCode>0.00%</c:formatCode>
                <c:ptCount val="4"/>
                <c:pt idx="0">
                  <c:v>0.87179015326097342</c:v>
                </c:pt>
                <c:pt idx="1">
                  <c:v>0.87179015326097342</c:v>
                </c:pt>
                <c:pt idx="2">
                  <c:v>0.87179015326097342</c:v>
                </c:pt>
                <c:pt idx="3">
                  <c:v>0.87179015326097342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0-43C7-9F6C-0C36464CFB73}"/>
            </c:ext>
          </c:extLst>
        </c:ser>
        <c:ser>
          <c:idx val="3"/>
          <c:order val="3"/>
          <c:tx>
            <c:strRef>
              <c:f>'old-Summary'!$E$19</c:f>
              <c:strCache>
                <c:ptCount val="1"/>
                <c:pt idx="0">
                  <c:v>Average NT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'old-Summary'!$E$24:$E$27</c:f>
              <c:numCache>
                <c:formatCode>0.00%</c:formatCode>
                <c:ptCount val="4"/>
                <c:pt idx="0">
                  <c:v>0.82645520780209103</c:v>
                </c:pt>
                <c:pt idx="1">
                  <c:v>0.82645520780209103</c:v>
                </c:pt>
                <c:pt idx="2">
                  <c:v>0.82645520780209103</c:v>
                </c:pt>
                <c:pt idx="3">
                  <c:v>0.82645520780209103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0-43C7-9F6C-0C36464CF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40863"/>
        <c:axId val="279478480"/>
      </c:lineChart>
      <c:catAx>
        <c:axId val="128724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79478480"/>
        <c:crosses val="autoZero"/>
        <c:auto val="1"/>
        <c:lblAlgn val="ctr"/>
        <c:lblOffset val="100"/>
        <c:noMultiLvlLbl val="0"/>
      </c:catAx>
      <c:valAx>
        <c:axId val="2794784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872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prediction accuracy LSTM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'old-Summary'!$B$19</c:f>
              <c:strCache>
                <c:ptCount val="1"/>
                <c:pt idx="0">
                  <c:v>Accuracy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'old-Summary'!$A$20:$A$23</c:f>
              <c:strCache>
                <c:ptCount val="4"/>
                <c:pt idx="0">
                  <c:v>CLUSTER none</c:v>
                </c:pt>
                <c:pt idx="1">
                  <c:v>CLUSTER power_loss</c:v>
                </c:pt>
                <c:pt idx="2">
                  <c:v>CLUSTER min_loss</c:v>
                </c:pt>
                <c:pt idx="3">
                  <c:v>CLUSTER sampling_nb</c:v>
                </c:pt>
              </c:strCache>
            </c:strRef>
          </c:cat>
          <c:val>
            <c:numRef>
              <c:f>'old-Summary'!$B$46:$B$49</c:f>
              <c:numCache>
                <c:formatCode>0.00%</c:formatCode>
                <c:ptCount val="4"/>
                <c:pt idx="0">
                  <c:v>0.8643530120481927</c:v>
                </c:pt>
                <c:pt idx="1">
                  <c:v>0.89029999999999998</c:v>
                </c:pt>
                <c:pt idx="2">
                  <c:v>0.90029999999999999</c:v>
                </c:pt>
                <c:pt idx="3">
                  <c:v>0.89080000000000004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A-4851-A9E9-33A0AF101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4206400"/>
        <c:axId val="284398800"/>
      </c:barChart>
      <c:lineChart>
        <c:grouping val="standard"/>
        <c:varyColors val="0"/>
        <c:ser>
          <c:idx val="1"/>
          <c:order val="1"/>
          <c:tx>
            <c:strRef>
              <c:f>'old-Summary'!$C$45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021888680425314E-2"/>
                  <c:y val="-9.88424820318049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AVG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F93-4D26-8D92-B13CF5B9CE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'old-Summary'!$C$46:$C$49</c:f>
              <c:numCache>
                <c:formatCode>0.00%</c:formatCode>
                <c:ptCount val="4"/>
                <c:pt idx="0">
                  <c:v>0.88054482711864401</c:v>
                </c:pt>
                <c:pt idx="1">
                  <c:v>0.88054482711864401</c:v>
                </c:pt>
                <c:pt idx="2">
                  <c:v>0.88054482711864401</c:v>
                </c:pt>
                <c:pt idx="3">
                  <c:v>0.88054482711864401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A-4851-A9E9-33A0AF101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206400"/>
        <c:axId val="284398800"/>
      </c:lineChart>
      <c:catAx>
        <c:axId val="15042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4398800"/>
        <c:crosses val="autoZero"/>
        <c:auto val="1"/>
        <c:lblAlgn val="ctr"/>
        <c:lblOffset val="100"/>
        <c:noMultiLvlLbl val="0"/>
      </c:catAx>
      <c:valAx>
        <c:axId val="2843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0420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node  prediction accuracy LSTM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'old-Summary'!$B$45</c:f>
              <c:strCache>
                <c:ptCount val="1"/>
                <c:pt idx="0">
                  <c:v>Accuracy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'old-Summary'!$A$24:$A$27</c:f>
              <c:strCache>
                <c:ptCount val="4"/>
                <c:pt idx="0">
                  <c:v>NODE none</c:v>
                </c:pt>
                <c:pt idx="1">
                  <c:v>NODEpower_loss</c:v>
                </c:pt>
                <c:pt idx="2">
                  <c:v>NODE min_loss</c:v>
                </c:pt>
                <c:pt idx="3">
                  <c:v>NODE sampling_nb</c:v>
                </c:pt>
              </c:strCache>
            </c:strRef>
          </c:cat>
          <c:val>
            <c:numRef>
              <c:f>'old-Summary'!$B$50:$B$53</c:f>
              <c:numCache>
                <c:formatCode>0.00%</c:formatCode>
                <c:ptCount val="4"/>
                <c:pt idx="0">
                  <c:v>0.95482496857980736</c:v>
                </c:pt>
                <c:pt idx="1">
                  <c:v>0.94248528198074266</c:v>
                </c:pt>
                <c:pt idx="2">
                  <c:v>0.93104712328767114</c:v>
                </c:pt>
                <c:pt idx="3">
                  <c:v>0.9434862767901645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0-4737-B908-DA8295B0EE04}"/>
            </c:ext>
          </c:extLst>
        </c:ser>
        <c:ser>
          <c:idx val="1"/>
          <c:order val="1"/>
          <c:tx>
            <c:strRef>
              <c:f>'old-Summary'!$D$45</c:f>
              <c:strCache>
                <c:ptCount val="1"/>
                <c:pt idx="0">
                  <c:v>Accuracy non trivial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'old-Summary'!$A$24:$A$27</c:f>
              <c:strCache>
                <c:ptCount val="4"/>
                <c:pt idx="0">
                  <c:v>NODE none</c:v>
                </c:pt>
                <c:pt idx="1">
                  <c:v>NODEpower_loss</c:v>
                </c:pt>
                <c:pt idx="2">
                  <c:v>NODE min_loss</c:v>
                </c:pt>
                <c:pt idx="3">
                  <c:v>NODE sampling_nb</c:v>
                </c:pt>
              </c:strCache>
            </c:strRef>
          </c:cat>
          <c:val>
            <c:numRef>
              <c:f>'old-Summary'!$D$50:$D$53</c:f>
              <c:numCache>
                <c:formatCode>0.00%</c:formatCode>
                <c:ptCount val="4"/>
                <c:pt idx="0">
                  <c:v>0.72017420843232538</c:v>
                </c:pt>
                <c:pt idx="1">
                  <c:v>0.92313749999999994</c:v>
                </c:pt>
                <c:pt idx="2">
                  <c:v>0.90755629017447192</c:v>
                </c:pt>
                <c:pt idx="3">
                  <c:v>0.92416530533734009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0-4737-B908-DA8295B0E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7240863"/>
        <c:axId val="279478480"/>
      </c:barChart>
      <c:lineChart>
        <c:grouping val="standard"/>
        <c:varyColors val="0"/>
        <c:ser>
          <c:idx val="2"/>
          <c:order val="2"/>
          <c:tx>
            <c:strRef>
              <c:f>'old-Summary'!$C$45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'old-Summary'!$C$50:$C$53</c:f>
              <c:numCache>
                <c:formatCode>0.00%</c:formatCode>
                <c:ptCount val="4"/>
                <c:pt idx="0">
                  <c:v>0.94643604922796409</c:v>
                </c:pt>
                <c:pt idx="1">
                  <c:v>0.94643604922796409</c:v>
                </c:pt>
                <c:pt idx="2">
                  <c:v>0.94643604922796409</c:v>
                </c:pt>
                <c:pt idx="3">
                  <c:v>0.94643604922796409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0-4737-B908-DA8295B0EE04}"/>
            </c:ext>
          </c:extLst>
        </c:ser>
        <c:ser>
          <c:idx val="3"/>
          <c:order val="3"/>
          <c:tx>
            <c:strRef>
              <c:f>'old-Summary'!$E$45</c:f>
              <c:strCache>
                <c:ptCount val="1"/>
                <c:pt idx="0">
                  <c:v>Average NT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'old-Summary'!$E$50:$E$53</c:f>
              <c:numCache>
                <c:formatCode>0.00%</c:formatCode>
                <c:ptCount val="4"/>
                <c:pt idx="0">
                  <c:v>0.83546231108857538</c:v>
                </c:pt>
                <c:pt idx="1">
                  <c:v>0.83546231108857538</c:v>
                </c:pt>
                <c:pt idx="2">
                  <c:v>0.83546231108857538</c:v>
                </c:pt>
                <c:pt idx="3">
                  <c:v>0.83546231108857538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0-4737-B908-DA8295B0E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40863"/>
        <c:axId val="279478480"/>
      </c:lineChart>
      <c:catAx>
        <c:axId val="128724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79478480"/>
        <c:crosses val="autoZero"/>
        <c:auto val="1"/>
        <c:lblAlgn val="ctr"/>
        <c:lblOffset val="100"/>
        <c:noMultiLvlLbl val="0"/>
      </c:catAx>
      <c:valAx>
        <c:axId val="279478480"/>
        <c:scaling>
          <c:orientation val="minMax"/>
          <c:max val="1.0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872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prediction accuracy MC2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'old-Summary'!$B$32</c:f>
              <c:strCache>
                <c:ptCount val="1"/>
                <c:pt idx="0">
                  <c:v>Accuracy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'old-Summary'!$A$20:$A$23</c:f>
              <c:strCache>
                <c:ptCount val="4"/>
                <c:pt idx="0">
                  <c:v>CLUSTER none</c:v>
                </c:pt>
                <c:pt idx="1">
                  <c:v>CLUSTER power_loss</c:v>
                </c:pt>
                <c:pt idx="2">
                  <c:v>CLUSTER min_loss</c:v>
                </c:pt>
                <c:pt idx="3">
                  <c:v>CLUSTER sampling_nb</c:v>
                </c:pt>
              </c:strCache>
            </c:strRef>
          </c:cat>
          <c:val>
            <c:numRef>
              <c:f>'old-Summary'!$B$33:$B$36</c:f>
              <c:numCache>
                <c:formatCode>0.00%</c:formatCode>
                <c:ptCount val="4"/>
                <c:pt idx="0">
                  <c:v>0.74748660328435601</c:v>
                </c:pt>
                <c:pt idx="1">
                  <c:v>0.74591084337349389</c:v>
                </c:pt>
                <c:pt idx="2">
                  <c:v>0.75419999999999998</c:v>
                </c:pt>
                <c:pt idx="3">
                  <c:v>0.75290000000000001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3-4E9D-8B81-098D651C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206400"/>
        <c:axId val="284398800"/>
      </c:barChart>
      <c:lineChart>
        <c:grouping val="standard"/>
        <c:varyColors val="0"/>
        <c:ser>
          <c:idx val="1"/>
          <c:order val="1"/>
          <c:tx>
            <c:strRef>
              <c:f>'old-Summary'!$C$32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7.0017504376094025E-2"/>
                  <c:y val="-8.18713450292398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AVG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203-4E9D-8B81-098D651C11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'old-Summary'!$C$33:$C$36</c:f>
              <c:numCache>
                <c:formatCode>0.00%</c:formatCode>
                <c:ptCount val="4"/>
                <c:pt idx="0">
                  <c:v>0.74903499863499867</c:v>
                </c:pt>
                <c:pt idx="1">
                  <c:v>0.74903499863499867</c:v>
                </c:pt>
                <c:pt idx="2">
                  <c:v>0.74903499863499867</c:v>
                </c:pt>
                <c:pt idx="3">
                  <c:v>0.74903499863499867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3-4E9D-8B81-098D651C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206400"/>
        <c:axId val="284398800"/>
      </c:lineChart>
      <c:catAx>
        <c:axId val="15042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4398800"/>
        <c:crosses val="autoZero"/>
        <c:auto val="1"/>
        <c:lblAlgn val="ctr"/>
        <c:lblOffset val="100"/>
        <c:noMultiLvlLbl val="0"/>
      </c:catAx>
      <c:valAx>
        <c:axId val="2843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0420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node  prediction accuracy MC2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'old-Summary'!$B$32</c:f>
              <c:strCache>
                <c:ptCount val="1"/>
                <c:pt idx="0">
                  <c:v>Accuracy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'old-Summary'!$A$24:$A$27</c:f>
              <c:strCache>
                <c:ptCount val="4"/>
                <c:pt idx="0">
                  <c:v>NODE none</c:v>
                </c:pt>
                <c:pt idx="1">
                  <c:v>NODEpower_loss</c:v>
                </c:pt>
                <c:pt idx="2">
                  <c:v>NODE min_loss</c:v>
                </c:pt>
                <c:pt idx="3">
                  <c:v>NODE sampling_nb</c:v>
                </c:pt>
              </c:strCache>
            </c:strRef>
          </c:cat>
          <c:val>
            <c:numRef>
              <c:f>'old-Summary'!$B$37:$B$40</c:f>
              <c:numCache>
                <c:formatCode>0.00%</c:formatCode>
                <c:ptCount val="4"/>
                <c:pt idx="0">
                  <c:v>0.83318736842105257</c:v>
                </c:pt>
                <c:pt idx="1">
                  <c:v>0.85506282867423189</c:v>
                </c:pt>
                <c:pt idx="2">
                  <c:v>0.88780000000000003</c:v>
                </c:pt>
                <c:pt idx="3">
                  <c:v>0.78181664025356579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C-43C1-9968-71554433990F}"/>
            </c:ext>
          </c:extLst>
        </c:ser>
        <c:ser>
          <c:idx val="1"/>
          <c:order val="1"/>
          <c:tx>
            <c:strRef>
              <c:f>'old-Summary'!$C$32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'old-Summary'!$A$24:$A$27</c:f>
              <c:strCache>
                <c:ptCount val="4"/>
                <c:pt idx="0">
                  <c:v>NODE none</c:v>
                </c:pt>
                <c:pt idx="1">
                  <c:v>NODEpower_loss</c:v>
                </c:pt>
                <c:pt idx="2">
                  <c:v>NODE min_loss</c:v>
                </c:pt>
                <c:pt idx="3">
                  <c:v>NODE sampling_nb</c:v>
                </c:pt>
              </c:strCache>
            </c:strRef>
          </c:cat>
          <c:val>
            <c:numRef>
              <c:f>'old-Summary'!$D$37:$D$40</c:f>
              <c:numCache>
                <c:formatCode>0.00%</c:formatCode>
                <c:ptCount val="4"/>
                <c:pt idx="0">
                  <c:v>0.77290316270798931</c:v>
                </c:pt>
                <c:pt idx="1">
                  <c:v>0.80054047410741125</c:v>
                </c:pt>
                <c:pt idx="2">
                  <c:v>0.77559999999999985</c:v>
                </c:pt>
                <c:pt idx="3">
                  <c:v>0.71132021215371932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C-43C1-9968-715544339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7240863"/>
        <c:axId val="279478480"/>
      </c:barChart>
      <c:lineChart>
        <c:grouping val="standard"/>
        <c:varyColors val="0"/>
        <c:ser>
          <c:idx val="2"/>
          <c:order val="2"/>
          <c:tx>
            <c:strRef>
              <c:f>'old-Summary'!$C$32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'old-Summary'!$C$37:$C$40</c:f>
              <c:numCache>
                <c:formatCode>0.00%</c:formatCode>
                <c:ptCount val="4"/>
                <c:pt idx="0">
                  <c:v>0.84043881856540092</c:v>
                </c:pt>
                <c:pt idx="1">
                  <c:v>0.84043881856540092</c:v>
                </c:pt>
                <c:pt idx="2">
                  <c:v>0.84043881856540092</c:v>
                </c:pt>
                <c:pt idx="3">
                  <c:v>0.84043881856540092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C-43C1-9968-71554433990F}"/>
            </c:ext>
          </c:extLst>
        </c:ser>
        <c:ser>
          <c:idx val="3"/>
          <c:order val="3"/>
          <c:tx>
            <c:strRef>
              <c:f>'old-Summary'!$E$32</c:f>
              <c:strCache>
                <c:ptCount val="1"/>
                <c:pt idx="0">
                  <c:v>Average NT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'old-Summary'!$E$37:$E$40</c:f>
              <c:numCache>
                <c:formatCode>0.00%</c:formatCode>
                <c:ptCount val="4"/>
                <c:pt idx="0">
                  <c:v>0.77726555377776529</c:v>
                </c:pt>
                <c:pt idx="1">
                  <c:v>0.77726555377776529</c:v>
                </c:pt>
                <c:pt idx="2">
                  <c:v>0.77726555377776529</c:v>
                </c:pt>
                <c:pt idx="3">
                  <c:v>0.77726555377776529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4C-43C1-9968-715544339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40863"/>
        <c:axId val="279478480"/>
      </c:lineChart>
      <c:catAx>
        <c:axId val="128724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79478480"/>
        <c:crosses val="autoZero"/>
        <c:auto val="1"/>
        <c:lblAlgn val="ctr"/>
        <c:lblOffset val="100"/>
        <c:noMultiLvlLbl val="0"/>
      </c:catAx>
      <c:valAx>
        <c:axId val="279478480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872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m</a:t>
            </a:r>
            <a:r>
              <a:rPr lang="en-US"/>
              <a:t>odel comparison for cluster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'old-Summary'!$A$59</c:f>
              <c:strCache>
                <c:ptCount val="1"/>
                <c:pt idx="0">
                  <c:v>MC1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'old-Summary'!$B$58:$F$58</c:f>
              <c:strCache>
                <c:ptCount val="5"/>
                <c:pt idx="0">
                  <c:v>Average</c:v>
                </c:pt>
                <c:pt idx="1">
                  <c:v>local learning</c:v>
                </c:pt>
                <c:pt idx="2">
                  <c:v>power_loss</c:v>
                </c:pt>
                <c:pt idx="3">
                  <c:v>min_loss</c:v>
                </c:pt>
                <c:pt idx="4">
                  <c:v>sampling_nb</c:v>
                </c:pt>
              </c:strCache>
            </c:strRef>
          </c:cat>
          <c:val>
            <c:numRef>
              <c:f>'old-Summary'!$B$59:$F$59</c:f>
              <c:numCache>
                <c:formatCode>0.00%</c:formatCode>
                <c:ptCount val="5"/>
                <c:pt idx="0">
                  <c:v>0.77208888801509923</c:v>
                </c:pt>
                <c:pt idx="1">
                  <c:v>0.71991810265811174</c:v>
                </c:pt>
                <c:pt idx="2">
                  <c:v>0.78817365984930021</c:v>
                </c:pt>
                <c:pt idx="3">
                  <c:v>0.79453115159401433</c:v>
                </c:pt>
                <c:pt idx="4">
                  <c:v>0.76810334401709401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A-465D-B490-70BC99ABED1A}"/>
            </c:ext>
          </c:extLst>
        </c:ser>
        <c:ser>
          <c:idx val="1"/>
          <c:order val="1"/>
          <c:tx>
            <c:strRef>
              <c:f>'old-Summary'!$A$60</c:f>
              <c:strCache>
                <c:ptCount val="1"/>
                <c:pt idx="0">
                  <c:v>MC2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'old-Summary'!$B$58:$F$58</c:f>
              <c:strCache>
                <c:ptCount val="5"/>
                <c:pt idx="0">
                  <c:v>Average</c:v>
                </c:pt>
                <c:pt idx="1">
                  <c:v>local learning</c:v>
                </c:pt>
                <c:pt idx="2">
                  <c:v>power_loss</c:v>
                </c:pt>
                <c:pt idx="3">
                  <c:v>min_loss</c:v>
                </c:pt>
                <c:pt idx="4">
                  <c:v>sampling_nb</c:v>
                </c:pt>
              </c:strCache>
            </c:strRef>
          </c:cat>
          <c:val>
            <c:numRef>
              <c:f>'old-Summary'!$B$60:$F$60</c:f>
              <c:numCache>
                <c:formatCode>0.00%</c:formatCode>
                <c:ptCount val="5"/>
                <c:pt idx="0">
                  <c:v>0.74903499863499867</c:v>
                </c:pt>
                <c:pt idx="1">
                  <c:v>0.74748660328435601</c:v>
                </c:pt>
                <c:pt idx="2">
                  <c:v>0.74591084337349389</c:v>
                </c:pt>
                <c:pt idx="3">
                  <c:v>0.75419999999999998</c:v>
                </c:pt>
                <c:pt idx="4">
                  <c:v>0.75290000000000001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A-465D-B490-70BC99ABED1A}"/>
            </c:ext>
          </c:extLst>
        </c:ser>
        <c:ser>
          <c:idx val="2"/>
          <c:order val="2"/>
          <c:tx>
            <c:strRef>
              <c:f>'old-Summary'!$A$61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'old-Summary'!$B$58:$F$58</c:f>
              <c:strCache>
                <c:ptCount val="5"/>
                <c:pt idx="0">
                  <c:v>Average</c:v>
                </c:pt>
                <c:pt idx="1">
                  <c:v>local learning</c:v>
                </c:pt>
                <c:pt idx="2">
                  <c:v>power_loss</c:v>
                </c:pt>
                <c:pt idx="3">
                  <c:v>min_loss</c:v>
                </c:pt>
                <c:pt idx="4">
                  <c:v>sampling_nb</c:v>
                </c:pt>
              </c:strCache>
            </c:strRef>
          </c:cat>
          <c:val>
            <c:numRef>
              <c:f>'old-Summary'!$B$61:$F$61</c:f>
              <c:numCache>
                <c:formatCode>0.00%</c:formatCode>
                <c:ptCount val="5"/>
                <c:pt idx="0">
                  <c:v>0.88054482711864401</c:v>
                </c:pt>
                <c:pt idx="1">
                  <c:v>0.8643530120481927</c:v>
                </c:pt>
                <c:pt idx="2">
                  <c:v>0.89029999999999998</c:v>
                </c:pt>
                <c:pt idx="3">
                  <c:v>0.90029999999999999</c:v>
                </c:pt>
                <c:pt idx="4">
                  <c:v>0.89080000000000004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1A-465D-B490-70BC99AB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909424"/>
        <c:axId val="145574016"/>
      </c:barChart>
      <c:catAx>
        <c:axId val="158390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574016"/>
        <c:crosses val="autoZero"/>
        <c:auto val="1"/>
        <c:lblAlgn val="ctr"/>
        <c:lblOffset val="100"/>
        <c:noMultiLvlLbl val="0"/>
      </c:catAx>
      <c:valAx>
        <c:axId val="1455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8390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ossip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erated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earning with LSTM , at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node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level: comparing the aggregators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Summary!$C$38</c:f>
              <c:strCache>
                <c:ptCount val="1"/>
                <c:pt idx="0">
                  <c:v>Accuracy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Summary!$B$44:$B$48</c:f>
              <c:strCache>
                <c:ptCount val="5"/>
                <c:pt idx="0">
                  <c:v>local</c:v>
                </c:pt>
                <c:pt idx="1">
                  <c:v>power_loss</c:v>
                </c:pt>
                <c:pt idx="2">
                  <c:v>min_loss</c:v>
                </c:pt>
                <c:pt idx="3">
                  <c:v>sampling_nb</c:v>
                </c:pt>
                <c:pt idx="4">
                  <c:v>dist_power_hist</c:v>
                </c:pt>
              </c:strCache>
            </c:strRef>
          </c:cat>
          <c:val>
            <c:numRef>
              <c:f>Summary!$C$44:$C$48</c:f>
              <c:numCache>
                <c:formatCode>0.00%</c:formatCode>
                <c:ptCount val="5"/>
                <c:pt idx="0">
                  <c:v>0.95482496857980736</c:v>
                </c:pt>
                <c:pt idx="1">
                  <c:v>0.94248528198074266</c:v>
                </c:pt>
                <c:pt idx="2">
                  <c:v>0.93104712328767114</c:v>
                </c:pt>
                <c:pt idx="3">
                  <c:v>0.9434862767901645</c:v>
                </c:pt>
                <c:pt idx="4">
                  <c:v>0.95579664694280086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7-4E42-8C56-44341C55CF82}"/>
            </c:ext>
          </c:extLst>
        </c:ser>
        <c:ser>
          <c:idx val="1"/>
          <c:order val="1"/>
          <c:tx>
            <c:strRef>
              <c:f>Summary!$E$38</c:f>
              <c:strCache>
                <c:ptCount val="1"/>
                <c:pt idx="0">
                  <c:v>Accuracy non trivial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Summary!$B$44:$B$48</c:f>
              <c:strCache>
                <c:ptCount val="5"/>
                <c:pt idx="0">
                  <c:v>local</c:v>
                </c:pt>
                <c:pt idx="1">
                  <c:v>power_loss</c:v>
                </c:pt>
                <c:pt idx="2">
                  <c:v>min_loss</c:v>
                </c:pt>
                <c:pt idx="3">
                  <c:v>sampling_nb</c:v>
                </c:pt>
                <c:pt idx="4">
                  <c:v>dist_power_hist</c:v>
                </c:pt>
              </c:strCache>
            </c:strRef>
          </c:cat>
          <c:val>
            <c:numRef>
              <c:f>Summary!$E$44:$E$48</c:f>
              <c:numCache>
                <c:formatCode>0.00%</c:formatCode>
                <c:ptCount val="5"/>
                <c:pt idx="0">
                  <c:v>0.9381546916797423</c:v>
                </c:pt>
                <c:pt idx="1">
                  <c:v>0.92313749999999994</c:v>
                </c:pt>
                <c:pt idx="2">
                  <c:v>0.90755629017447192</c:v>
                </c:pt>
                <c:pt idx="3">
                  <c:v>0.92416530533734009</c:v>
                </c:pt>
                <c:pt idx="4">
                  <c:v>0.93905347079037793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7-4E42-8C56-44341C55C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7240863"/>
        <c:axId val="279478480"/>
      </c:barChart>
      <c:lineChart>
        <c:grouping val="standard"/>
        <c:varyColors val="0"/>
        <c:ser>
          <c:idx val="2"/>
          <c:order val="2"/>
          <c:tx>
            <c:strRef>
              <c:f>Summary!$D$38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Summary!$D$44:$D$48</c:f>
              <c:numCache>
                <c:formatCode>0.00%</c:formatCode>
                <c:ptCount val="5"/>
                <c:pt idx="0">
                  <c:v>0.94781879764968668</c:v>
                </c:pt>
                <c:pt idx="1">
                  <c:v>0.94781879764968668</c:v>
                </c:pt>
                <c:pt idx="2">
                  <c:v>0.94781879764968668</c:v>
                </c:pt>
                <c:pt idx="3">
                  <c:v>0.94781879764968668</c:v>
                </c:pt>
                <c:pt idx="4">
                  <c:v>0.94781879764968668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7-4E42-8C56-44341C55CF82}"/>
            </c:ext>
          </c:extLst>
        </c:ser>
        <c:ser>
          <c:idx val="3"/>
          <c:order val="3"/>
          <c:tx>
            <c:strRef>
              <c:f>Summary!$F$38</c:f>
              <c:strCache>
                <c:ptCount val="1"/>
                <c:pt idx="0">
                  <c:v>Average NT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Summary!$F$44:$F$48</c:f>
              <c:numCache>
                <c:formatCode>0.00%</c:formatCode>
                <c:ptCount val="5"/>
                <c:pt idx="0">
                  <c:v>0.92922101607971552</c:v>
                </c:pt>
                <c:pt idx="1">
                  <c:v>0.92922101607971552</c:v>
                </c:pt>
                <c:pt idx="2">
                  <c:v>0.92922101607971552</c:v>
                </c:pt>
                <c:pt idx="3">
                  <c:v>0.92922101607971552</c:v>
                </c:pt>
                <c:pt idx="4">
                  <c:v>0.92922101607971552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F7-4E42-8C56-44341C55C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40863"/>
        <c:axId val="279478480"/>
      </c:lineChart>
      <c:catAx>
        <c:axId val="128724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Aggregator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79478480"/>
        <c:crosses val="autoZero"/>
        <c:auto val="1"/>
        <c:lblAlgn val="ctr"/>
        <c:lblOffset val="100"/>
        <c:noMultiLvlLbl val="0"/>
      </c:catAx>
      <c:valAx>
        <c:axId val="279478480"/>
        <c:scaling>
          <c:orientation val="minMax"/>
          <c:max val="1.00001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Average of accuracies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872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ossip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erated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earning with Markov Chains , at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cluster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level: comparing the aggregators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Summary!$C$23</c:f>
              <c:strCache>
                <c:ptCount val="1"/>
                <c:pt idx="0">
                  <c:v>Accuracy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807-4351-BA5A-CF3917263DB1}"/>
              </c:ext>
            </c:extLst>
          </c:dPt>
          <c:cat>
            <c:strRef>
              <c:f>Summary!$B$24:$B$28</c:f>
              <c:strCache>
                <c:ptCount val="5"/>
                <c:pt idx="0">
                  <c:v>local learning</c:v>
                </c:pt>
                <c:pt idx="1">
                  <c:v>power_loss</c:v>
                </c:pt>
                <c:pt idx="2">
                  <c:v>min_loss</c:v>
                </c:pt>
                <c:pt idx="3">
                  <c:v>sampling_nb</c:v>
                </c:pt>
                <c:pt idx="4">
                  <c:v>dist_power_hist</c:v>
                </c:pt>
              </c:strCache>
            </c:strRef>
          </c:cat>
          <c:val>
            <c:numRef>
              <c:f>Summary!$C$24:$C$28</c:f>
              <c:numCache>
                <c:formatCode>0.00%</c:formatCode>
                <c:ptCount val="5"/>
                <c:pt idx="0">
                  <c:v>0.74748660328435601</c:v>
                </c:pt>
                <c:pt idx="1">
                  <c:v>0.74591084337349389</c:v>
                </c:pt>
                <c:pt idx="2">
                  <c:v>0.75419999999999998</c:v>
                </c:pt>
                <c:pt idx="3">
                  <c:v>0.75290000000000001</c:v>
                </c:pt>
                <c:pt idx="4">
                  <c:v>0.75880000000000003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7-4672-AB6A-3CD20C5E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206400"/>
        <c:axId val="284398800"/>
      </c:barChart>
      <c:lineChart>
        <c:grouping val="standard"/>
        <c:varyColors val="0"/>
        <c:ser>
          <c:idx val="1"/>
          <c:order val="1"/>
          <c:tx>
            <c:strRef>
              <c:f>Summary!$D$23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7.0017504376094025E-2"/>
                  <c:y val="-8.18713450292398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AVG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6A7-4672-AB6A-3CD20C5E05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Summary!$D$24:$D$28</c:f>
              <c:numCache>
                <c:formatCode>0.00%</c:formatCode>
                <c:ptCount val="5"/>
                <c:pt idx="0">
                  <c:v>0.75051241890639475</c:v>
                </c:pt>
                <c:pt idx="1">
                  <c:v>0.75051241890639475</c:v>
                </c:pt>
                <c:pt idx="2">
                  <c:v>0.75051241890639475</c:v>
                </c:pt>
                <c:pt idx="3">
                  <c:v>0.75051241890639475</c:v>
                </c:pt>
                <c:pt idx="4">
                  <c:v>0.75051241890639475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A7-4672-AB6A-3CD20C5E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206400"/>
        <c:axId val="284398800"/>
      </c:lineChart>
      <c:catAx>
        <c:axId val="150420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Aggregator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4398800"/>
        <c:crosses val="autoZero"/>
        <c:auto val="1"/>
        <c:lblAlgn val="ctr"/>
        <c:lblOffset val="100"/>
        <c:noMultiLvlLbl val="0"/>
      </c:catAx>
      <c:valAx>
        <c:axId val="2843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>
                    <a:effectLst/>
                  </a:rPr>
                  <a:t>Average of accuracies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0420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ossip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erated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earning with Markov Chains , at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node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level: comparing the aggregators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Summary!$C$23</c:f>
              <c:strCache>
                <c:ptCount val="1"/>
                <c:pt idx="0">
                  <c:v>Accuracy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Summary!$B$29:$B$33</c:f>
              <c:strCache>
                <c:ptCount val="5"/>
                <c:pt idx="0">
                  <c:v>none</c:v>
                </c:pt>
                <c:pt idx="1">
                  <c:v>power_loss</c:v>
                </c:pt>
                <c:pt idx="2">
                  <c:v>min_loss</c:v>
                </c:pt>
                <c:pt idx="3">
                  <c:v>sampling_nb</c:v>
                </c:pt>
                <c:pt idx="4">
                  <c:v>dist_power_hist</c:v>
                </c:pt>
              </c:strCache>
            </c:strRef>
          </c:cat>
          <c:val>
            <c:numRef>
              <c:f>Summary!$C$29:$C$33</c:f>
              <c:numCache>
                <c:formatCode>0.00%</c:formatCode>
                <c:ptCount val="5"/>
                <c:pt idx="0">
                  <c:v>0.83318736842105257</c:v>
                </c:pt>
                <c:pt idx="1">
                  <c:v>0.85506282867423189</c:v>
                </c:pt>
                <c:pt idx="2">
                  <c:v>0.88780000000000003</c:v>
                </c:pt>
                <c:pt idx="3">
                  <c:v>0.78181664025356579</c:v>
                </c:pt>
                <c:pt idx="4">
                  <c:v>0.80936429675425037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C-4111-BD83-04CC35058FF3}"/>
            </c:ext>
          </c:extLst>
        </c:ser>
        <c:ser>
          <c:idx val="1"/>
          <c:order val="1"/>
          <c:tx>
            <c:strRef>
              <c:f>Summary!$E$23</c:f>
              <c:strCache>
                <c:ptCount val="1"/>
                <c:pt idx="0">
                  <c:v>Accuracy non trivial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Summary!$B$29:$B$33</c:f>
              <c:strCache>
                <c:ptCount val="5"/>
                <c:pt idx="0">
                  <c:v>none</c:v>
                </c:pt>
                <c:pt idx="1">
                  <c:v>power_loss</c:v>
                </c:pt>
                <c:pt idx="2">
                  <c:v>min_loss</c:v>
                </c:pt>
                <c:pt idx="3">
                  <c:v>sampling_nb</c:v>
                </c:pt>
                <c:pt idx="4">
                  <c:v>dist_power_hist</c:v>
                </c:pt>
              </c:strCache>
            </c:strRef>
          </c:cat>
          <c:val>
            <c:numRef>
              <c:f>Summary!$E$29:$E$33</c:f>
              <c:numCache>
                <c:formatCode>0.00%</c:formatCode>
                <c:ptCount val="5"/>
                <c:pt idx="0">
                  <c:v>0.77290316270798931</c:v>
                </c:pt>
                <c:pt idx="1">
                  <c:v>0.80054047410741125</c:v>
                </c:pt>
                <c:pt idx="2">
                  <c:v>0.77559999999999985</c:v>
                </c:pt>
                <c:pt idx="3">
                  <c:v>0.71132021215371932</c:v>
                </c:pt>
                <c:pt idx="4">
                  <c:v>0.72634248939508395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C-4111-BD83-04CC35058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7240863"/>
        <c:axId val="279478480"/>
      </c:barChart>
      <c:lineChart>
        <c:grouping val="standard"/>
        <c:varyColors val="0"/>
        <c:ser>
          <c:idx val="2"/>
          <c:order val="2"/>
          <c:tx>
            <c:strRef>
              <c:f>Summary!$D$23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Summary!$D$29:$D$33</c:f>
              <c:numCache>
                <c:formatCode>0.00%</c:formatCode>
                <c:ptCount val="5"/>
                <c:pt idx="0">
                  <c:v>0.8353681462799496</c:v>
                </c:pt>
                <c:pt idx="1">
                  <c:v>0.8353681462799496</c:v>
                </c:pt>
                <c:pt idx="2">
                  <c:v>0.8353681462799496</c:v>
                </c:pt>
                <c:pt idx="3">
                  <c:v>0.8353681462799496</c:v>
                </c:pt>
                <c:pt idx="4">
                  <c:v>0.8353681462799496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C-4111-BD83-04CC35058FF3}"/>
            </c:ext>
          </c:extLst>
        </c:ser>
        <c:ser>
          <c:idx val="3"/>
          <c:order val="3"/>
          <c:tx>
            <c:strRef>
              <c:f>Summary!$F$23</c:f>
              <c:strCache>
                <c:ptCount val="1"/>
                <c:pt idx="0">
                  <c:v>Average NT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Summary!$F$29:$F$33</c:f>
              <c:numCache>
                <c:formatCode>0.00%</c:formatCode>
                <c:ptCount val="5"/>
                <c:pt idx="0">
                  <c:v>0.76918283782290586</c:v>
                </c:pt>
                <c:pt idx="1">
                  <c:v>0.76918283782290586</c:v>
                </c:pt>
                <c:pt idx="2">
                  <c:v>0.76918283782290586</c:v>
                </c:pt>
                <c:pt idx="3">
                  <c:v>0.76918283782290586</c:v>
                </c:pt>
                <c:pt idx="4">
                  <c:v>0.76918283782290586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0C-4111-BD83-04CC35058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40863"/>
        <c:axId val="279478480"/>
      </c:lineChart>
      <c:catAx>
        <c:axId val="128724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Aggregator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79478480"/>
        <c:crosses val="autoZero"/>
        <c:auto val="1"/>
        <c:lblAlgn val="ctr"/>
        <c:lblOffset val="100"/>
        <c:noMultiLvlLbl val="0"/>
      </c:catAx>
      <c:valAx>
        <c:axId val="279478480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Average of accuracies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872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rPr>
              <a:t>G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rPr>
              <a:t>ossip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rPr>
              <a:t>E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rPr>
              <a:t>nsemble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rPr>
              <a:t>L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rPr>
              <a:t>earning, at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rPr>
              <a:t>cluster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rPr>
              <a:t> level: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comparing the aggregators</a:t>
            </a:r>
            <a:endParaRPr lang="en-US" sz="1400" b="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Summary!$C$72</c:f>
              <c:strCache>
                <c:ptCount val="1"/>
                <c:pt idx="0">
                  <c:v>Accuracy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F29-4177-8109-3C0E6178D7F3}"/>
              </c:ext>
            </c:extLst>
          </c:dPt>
          <c:cat>
            <c:strRef>
              <c:f>Summary!$B$73:$B$76</c:f>
              <c:strCache>
                <c:ptCount val="4"/>
                <c:pt idx="0">
                  <c:v>local learning</c:v>
                </c:pt>
                <c:pt idx="1">
                  <c:v>dist_power_last</c:v>
                </c:pt>
                <c:pt idx="2">
                  <c:v>dist_power_hist</c:v>
                </c:pt>
                <c:pt idx="3">
                  <c:v>sampling_nb</c:v>
                </c:pt>
              </c:strCache>
            </c:strRef>
          </c:cat>
          <c:val>
            <c:numRef>
              <c:f>Summary!$C$73:$C$76</c:f>
              <c:numCache>
                <c:formatCode>0.00%</c:formatCode>
                <c:ptCount val="4"/>
                <c:pt idx="0">
                  <c:v>0.81188361963190192</c:v>
                </c:pt>
                <c:pt idx="1">
                  <c:v>0.88518935814342459</c:v>
                </c:pt>
                <c:pt idx="2">
                  <c:v>0.88323528930689021</c:v>
                </c:pt>
                <c:pt idx="3">
                  <c:v>0.86814015946286205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1-4276-A59A-3BF887ED7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axId val="1504206400"/>
        <c:axId val="284398800"/>
      </c:barChart>
      <c:lineChart>
        <c:grouping val="standard"/>
        <c:varyColors val="0"/>
        <c:ser>
          <c:idx val="1"/>
          <c:order val="1"/>
          <c:tx>
            <c:strRef>
              <c:f>Summary!$D$72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7.994782617454095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AVERAGE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7A1-4276-A59A-3BF887ED74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Summary!$D$72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Summary!$D$73:$D$76</c:f>
              <c:numCache>
                <c:formatCode>0.00%</c:formatCode>
                <c:ptCount val="4"/>
                <c:pt idx="0">
                  <c:v>0.86194678737713404</c:v>
                </c:pt>
                <c:pt idx="1">
                  <c:v>0.86194678737713404</c:v>
                </c:pt>
                <c:pt idx="2">
                  <c:v>0.86194678737713404</c:v>
                </c:pt>
                <c:pt idx="3">
                  <c:v>0.86194678737713404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1-4276-A59A-3BF887ED7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206400"/>
        <c:axId val="284398800"/>
      </c:lineChart>
      <c:catAx>
        <c:axId val="150420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Aggregator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4398800"/>
        <c:crosses val="autoZero"/>
        <c:auto val="1"/>
        <c:lblAlgn val="ctr"/>
        <c:lblOffset val="100"/>
        <c:noMultiLvlLbl val="0"/>
      </c:catAx>
      <c:valAx>
        <c:axId val="284398800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Average of accuracies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0420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>
                <a:effectLst/>
              </a:rPr>
              <a:t>Comparing </a:t>
            </a:r>
            <a:r>
              <a:rPr lang="en-US" sz="1400" b="1" i="0" u="none" strike="noStrike">
                <a:effectLst/>
              </a:rPr>
              <a:t>G</a:t>
            </a:r>
            <a:r>
              <a:rPr lang="en-US" sz="1400" b="0" i="0" u="none" strike="noStrike">
                <a:effectLst/>
              </a:rPr>
              <a:t>ossip </a:t>
            </a:r>
            <a:r>
              <a:rPr lang="en-US" sz="1400" b="1" i="0" u="none" strike="noStrike">
                <a:effectLst/>
              </a:rPr>
              <a:t>F</a:t>
            </a:r>
            <a:r>
              <a:rPr lang="en-US" sz="1400" b="0" i="0" u="none" strike="noStrike">
                <a:effectLst/>
              </a:rPr>
              <a:t>e</a:t>
            </a:r>
            <a:r>
              <a:rPr lang="en-US" sz="1400" b="1" i="0" u="none" strike="noStrike">
                <a:effectLst/>
              </a:rPr>
              <a:t>d</a:t>
            </a:r>
            <a:r>
              <a:rPr lang="en-US" sz="1400" b="0" i="0" u="none" strike="noStrike">
                <a:effectLst/>
              </a:rPr>
              <a:t>erated </a:t>
            </a:r>
            <a:r>
              <a:rPr lang="en-US" sz="1400" b="1" i="0" u="none" strike="noStrike">
                <a:effectLst/>
              </a:rPr>
              <a:t>L</a:t>
            </a:r>
            <a:r>
              <a:rPr lang="en-US" sz="1400" b="0" i="0" u="none" strike="noStrike">
                <a:effectLst/>
              </a:rPr>
              <a:t>earning and </a:t>
            </a:r>
            <a:r>
              <a:rPr lang="en-US" sz="1400" b="1" i="0" u="none" strike="noStrike">
                <a:effectLst/>
              </a:rPr>
              <a:t>G</a:t>
            </a:r>
            <a:r>
              <a:rPr lang="en-US" sz="1400" b="0" i="0" u="none" strike="noStrike">
                <a:effectLst/>
              </a:rPr>
              <a:t>ossip </a:t>
            </a:r>
            <a:r>
              <a:rPr lang="en-US" sz="1400" b="1" i="0" u="none" strike="noStrike">
                <a:effectLst/>
              </a:rPr>
              <a:t>E</a:t>
            </a:r>
            <a:r>
              <a:rPr lang="en-US" sz="1400" b="0" i="0" u="none" strike="noStrike">
                <a:effectLst/>
              </a:rPr>
              <a:t>nsemble </a:t>
            </a:r>
            <a:r>
              <a:rPr lang="en-US" sz="1400" b="1" i="0" u="none" strike="noStrike">
                <a:effectLst/>
              </a:rPr>
              <a:t>L</a:t>
            </a:r>
            <a:r>
              <a:rPr lang="en-US" sz="1400" b="0" i="0" u="none" strike="noStrike">
                <a:effectLst/>
              </a:rPr>
              <a:t>earning (at </a:t>
            </a:r>
            <a:r>
              <a:rPr lang="en-US" sz="1400" b="1" i="0" u="none" strike="noStrike">
                <a:effectLst/>
              </a:rPr>
              <a:t>cluster</a:t>
            </a:r>
            <a:r>
              <a:rPr lang="en-US" sz="1400" b="0" i="0" u="none" strike="noStrike">
                <a:effectLst/>
              </a:rPr>
              <a:t> level)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Summary!$B$89</c:f>
              <c:strCache>
                <c:ptCount val="1"/>
                <c:pt idx="0">
                  <c:v>GFDL with Markov Chains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Summary!$C$88:$F$88</c15:sqref>
                  </c15:fullRef>
                </c:ext>
              </c:extLst>
              <c:f>Summary!$D$88:$F$88</c:f>
              <c:strCache>
                <c:ptCount val="3"/>
                <c:pt idx="0">
                  <c:v>local learning</c:v>
                </c:pt>
                <c:pt idx="1">
                  <c:v>sampling_nb</c:v>
                </c:pt>
                <c:pt idx="2">
                  <c:v> dist_power_hist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Summary!$C$89:$F$89</c15:sqref>
                  </c15:fullRef>
                </c:ext>
              </c:extLst>
              <c:f>Summary!$D$89:$F$89</c:f>
              <c:numCache>
                <c:formatCode>0.00%</c:formatCode>
                <c:ptCount val="3"/>
                <c:pt idx="0">
                  <c:v>0.74748660328435601</c:v>
                </c:pt>
                <c:pt idx="1">
                  <c:v>0.75290000000000001</c:v>
                </c:pt>
                <c:pt idx="2">
                  <c:v>0.75880000000000003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A-4EA9-9B9D-A59A58EA4270}"/>
            </c:ext>
          </c:extLst>
        </c:ser>
        <c:ser>
          <c:idx val="1"/>
          <c:order val="1"/>
          <c:tx>
            <c:strRef>
              <c:f>Summary!$B$90</c:f>
              <c:strCache>
                <c:ptCount val="1"/>
                <c:pt idx="0">
                  <c:v>GFDL with LSTM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Summary!$C$88:$F$88</c15:sqref>
                  </c15:fullRef>
                </c:ext>
              </c:extLst>
              <c:f>Summary!$D$88:$F$88</c:f>
              <c:strCache>
                <c:ptCount val="3"/>
                <c:pt idx="0">
                  <c:v>local learning</c:v>
                </c:pt>
                <c:pt idx="1">
                  <c:v>sampling_nb</c:v>
                </c:pt>
                <c:pt idx="2">
                  <c:v> dist_power_hist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Summary!$C$90:$F$90</c15:sqref>
                  </c15:fullRef>
                </c:ext>
              </c:extLst>
              <c:f>Summary!$D$90:$F$90</c:f>
              <c:numCache>
                <c:formatCode>0.00%</c:formatCode>
                <c:ptCount val="3"/>
                <c:pt idx="0">
                  <c:v>0.8643530120481927</c:v>
                </c:pt>
                <c:pt idx="1">
                  <c:v>0.89080000000000004</c:v>
                </c:pt>
                <c:pt idx="2">
                  <c:v>0.89980000000000004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A-4EA9-9B9D-A59A58EA4270}"/>
            </c:ext>
          </c:extLst>
        </c:ser>
        <c:ser>
          <c:idx val="2"/>
          <c:order val="2"/>
          <c:tx>
            <c:strRef>
              <c:f>Summary!$B$91</c:f>
              <c:strCache>
                <c:ptCount val="1"/>
                <c:pt idx="0">
                  <c:v>Gossip Ensemble Learning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Summary!$C$88:$F$88</c15:sqref>
                  </c15:fullRef>
                </c:ext>
              </c:extLst>
              <c:f>Summary!$D$88:$F$88</c:f>
              <c:strCache>
                <c:ptCount val="3"/>
                <c:pt idx="0">
                  <c:v>local learning</c:v>
                </c:pt>
                <c:pt idx="1">
                  <c:v>sampling_nb</c:v>
                </c:pt>
                <c:pt idx="2">
                  <c:v> dist_power_hist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Summary!$C$91:$F$91</c15:sqref>
                  </c15:fullRef>
                </c:ext>
              </c:extLst>
              <c:f>Summary!$D$91:$F$91</c:f>
              <c:numCache>
                <c:formatCode>0.00%</c:formatCode>
                <c:ptCount val="3"/>
                <c:pt idx="0">
                  <c:v>0.81188361963190192</c:v>
                </c:pt>
                <c:pt idx="1">
                  <c:v>0.86814015946286205</c:v>
                </c:pt>
                <c:pt idx="2">
                  <c:v>0.88323528930689021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AA-4EA9-9B9D-A59A58EA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529216"/>
        <c:axId val="311807040"/>
      </c:barChart>
      <c:lineChart>
        <c:grouping val="standard"/>
        <c:varyColors val="0"/>
        <c:ser>
          <c:idx val="3"/>
          <c:order val="3"/>
          <c:tx>
            <c:strRef>
              <c:f>Summary!$B$92</c:f>
              <c:strCache>
                <c:ptCount val="1"/>
                <c:pt idx="0">
                  <c:v>Avg GFDL with Markov Chains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Summary!$C$88:$F$88</c15:sqref>
                  </c15:fullRef>
                </c:ext>
              </c:extLst>
              <c:f>Summary!$D$88:$F$88</c:f>
              <c:strCache>
                <c:ptCount val="3"/>
                <c:pt idx="0">
                  <c:v>local learning</c:v>
                </c:pt>
                <c:pt idx="1">
                  <c:v>sampling_nb</c:v>
                </c:pt>
                <c:pt idx="2">
                  <c:v> dist_power_hist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Summary!$C$92:$F$92</c15:sqref>
                  </c15:fullRef>
                </c:ext>
              </c:extLst>
              <c:f>Summary!$D$92:$F$92</c:f>
              <c:numCache>
                <c:formatCode>0.00%</c:formatCode>
                <c:ptCount val="3"/>
                <c:pt idx="0">
                  <c:v>0.75051241890639475</c:v>
                </c:pt>
                <c:pt idx="1">
                  <c:v>0.75051241890639475</c:v>
                </c:pt>
                <c:pt idx="2">
                  <c:v>0.75051241890639475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AA-4EA9-9B9D-A59A58EA4270}"/>
            </c:ext>
          </c:extLst>
        </c:ser>
        <c:ser>
          <c:idx val="4"/>
          <c:order val="4"/>
          <c:tx>
            <c:strRef>
              <c:f>Summary!$B$93</c:f>
              <c:strCache>
                <c:ptCount val="1"/>
                <c:pt idx="0">
                  <c:v>Avg GFDL with LSTM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Summary!$C$88:$F$88</c15:sqref>
                  </c15:fullRef>
                </c:ext>
              </c:extLst>
              <c:f>Summary!$D$88:$F$88</c:f>
              <c:strCache>
                <c:ptCount val="3"/>
                <c:pt idx="0">
                  <c:v>local learning</c:v>
                </c:pt>
                <c:pt idx="1">
                  <c:v>sampling_nb</c:v>
                </c:pt>
                <c:pt idx="2">
                  <c:v> dist_power_hist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Summary!$C$93:$F$93</c15:sqref>
                  </c15:fullRef>
                </c:ext>
              </c:extLst>
              <c:f>Summary!$D$93:$F$93</c:f>
              <c:numCache>
                <c:formatCode>0.00%</c:formatCode>
                <c:ptCount val="3"/>
                <c:pt idx="0">
                  <c:v>0.88387458786587414</c:v>
                </c:pt>
                <c:pt idx="1">
                  <c:v>0.88387458786587414</c:v>
                </c:pt>
                <c:pt idx="2">
                  <c:v>0.88387458786587414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AA-4EA9-9B9D-A59A58EA4270}"/>
            </c:ext>
          </c:extLst>
        </c:ser>
        <c:ser>
          <c:idx val="5"/>
          <c:order val="5"/>
          <c:tx>
            <c:strRef>
              <c:f>Summary!$B$94</c:f>
              <c:strCache>
                <c:ptCount val="1"/>
                <c:pt idx="0">
                  <c:v>Avg Gossip Ensemble Learning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Summary!$C$88:$F$88</c15:sqref>
                  </c15:fullRef>
                </c:ext>
              </c:extLst>
              <c:f>Summary!$D$88:$F$88</c:f>
              <c:strCache>
                <c:ptCount val="3"/>
                <c:pt idx="0">
                  <c:v>local learning</c:v>
                </c:pt>
                <c:pt idx="1">
                  <c:v>sampling_nb</c:v>
                </c:pt>
                <c:pt idx="2">
                  <c:v> dist_power_hist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Summary!$C$94:$F$94</c15:sqref>
                  </c15:fullRef>
                </c:ext>
              </c:extLst>
              <c:f>Summary!$D$94:$F$94</c:f>
              <c:numCache>
                <c:formatCode>0.00%</c:formatCode>
                <c:ptCount val="3"/>
                <c:pt idx="0">
                  <c:v>0.86194678737713404</c:v>
                </c:pt>
                <c:pt idx="1">
                  <c:v>0.86194678737713404</c:v>
                </c:pt>
                <c:pt idx="2">
                  <c:v>0.86194678737713404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AA-4EA9-9B9D-A59A58EA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529216"/>
        <c:axId val="311807040"/>
      </c:lineChart>
      <c:catAx>
        <c:axId val="2505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Aggregator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1807040"/>
        <c:crosses val="autoZero"/>
        <c:auto val="1"/>
        <c:lblAlgn val="ctr"/>
        <c:lblOffset val="100"/>
        <c:noMultiLvlLbl val="0"/>
      </c:catAx>
      <c:valAx>
        <c:axId val="31180704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Average of accuracies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505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054453012443277E-2"/>
          <c:y val="0.79483377272210431"/>
          <c:w val="0.8515479469947741"/>
          <c:h val="0.18283535288056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ossip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nsemble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earning, at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node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level: comparing the aggregators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Summary!$C$72</c:f>
              <c:strCache>
                <c:ptCount val="1"/>
                <c:pt idx="0">
                  <c:v>Accuracy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6-4013-AD9C-67E68835BF70}"/>
              </c:ext>
            </c:extLst>
          </c:dPt>
          <c:cat>
            <c:strRef>
              <c:f>Summary!$B$77:$B$80</c:f>
              <c:strCache>
                <c:ptCount val="4"/>
                <c:pt idx="0">
                  <c:v>local learning</c:v>
                </c:pt>
                <c:pt idx="1">
                  <c:v>dist_power_last</c:v>
                </c:pt>
                <c:pt idx="2">
                  <c:v>dist_power_hist</c:v>
                </c:pt>
                <c:pt idx="3">
                  <c:v>sampling_nb</c:v>
                </c:pt>
              </c:strCache>
            </c:strRef>
          </c:cat>
          <c:val>
            <c:numRef>
              <c:f>Summary!$C$77:$C$80</c:f>
              <c:numCache>
                <c:formatCode>0.00%</c:formatCode>
                <c:ptCount val="4"/>
                <c:pt idx="0">
                  <c:v>0.92519621599509116</c:v>
                </c:pt>
                <c:pt idx="1">
                  <c:v>0.93928089005235604</c:v>
                </c:pt>
                <c:pt idx="2">
                  <c:v>0.92374236453201974</c:v>
                </c:pt>
                <c:pt idx="3">
                  <c:v>0.65052434182132057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6-4013-AD9C-67E68835B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axId val="1504206400"/>
        <c:axId val="284398800"/>
      </c:barChart>
      <c:lineChart>
        <c:grouping val="standard"/>
        <c:varyColors val="0"/>
        <c:ser>
          <c:idx val="1"/>
          <c:order val="1"/>
          <c:tx>
            <c:strRef>
              <c:f>Summary!$D$72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7.994782617454095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AVERAGE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2D6-4013-AD9C-67E68835BF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Summary!$D$72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Summary!$D$73:$D$76</c:f>
              <c:numCache>
                <c:formatCode>0.00%</c:formatCode>
                <c:ptCount val="4"/>
                <c:pt idx="0">
                  <c:v>0.86194678737713404</c:v>
                </c:pt>
                <c:pt idx="1">
                  <c:v>0.86194678737713404</c:v>
                </c:pt>
                <c:pt idx="2">
                  <c:v>0.86194678737713404</c:v>
                </c:pt>
                <c:pt idx="3">
                  <c:v>0.86194678737713404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6-4013-AD9C-67E68835B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206400"/>
        <c:axId val="284398800"/>
      </c:lineChart>
      <c:catAx>
        <c:axId val="150420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Aggregator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4398800"/>
        <c:crosses val="autoZero"/>
        <c:auto val="1"/>
        <c:lblAlgn val="ctr"/>
        <c:lblOffset val="100"/>
        <c:noMultiLvlLbl val="0"/>
      </c:catAx>
      <c:valAx>
        <c:axId val="28439880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Average of accuracies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0420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Comparing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G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ossip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F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d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erated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L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earning and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G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ossip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nsemble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L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earning (at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node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 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Summary!$B$109</c:f>
              <c:strCache>
                <c:ptCount val="1"/>
                <c:pt idx="0">
                  <c:v>FDL with Markov Chains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Summary!$C$108:$F$108</c15:sqref>
                  </c15:fullRef>
                </c:ext>
              </c:extLst>
              <c:f>Summary!$D$108:$F$108</c:f>
              <c:strCache>
                <c:ptCount val="3"/>
                <c:pt idx="0">
                  <c:v>local learning</c:v>
                </c:pt>
                <c:pt idx="1">
                  <c:v>sampling_nb</c:v>
                </c:pt>
                <c:pt idx="2">
                  <c:v> dist_power_hist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Summary!$C$109:$F$109</c15:sqref>
                  </c15:fullRef>
                </c:ext>
              </c:extLst>
              <c:f>Summary!$D$109:$F$109</c:f>
              <c:numCache>
                <c:formatCode>0.00%</c:formatCode>
                <c:ptCount val="3"/>
                <c:pt idx="0">
                  <c:v>0.83318736842105257</c:v>
                </c:pt>
                <c:pt idx="1">
                  <c:v>0.78181664025356579</c:v>
                </c:pt>
                <c:pt idx="2">
                  <c:v>0.80936429675425037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E-4070-83B0-4831F7DD9F3D}"/>
            </c:ext>
          </c:extLst>
        </c:ser>
        <c:ser>
          <c:idx val="1"/>
          <c:order val="1"/>
          <c:tx>
            <c:strRef>
              <c:f>Summary!$B$110</c:f>
              <c:strCache>
                <c:ptCount val="1"/>
                <c:pt idx="0">
                  <c:v>FDL with LSTM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Summary!$C$108:$F$108</c15:sqref>
                  </c15:fullRef>
                </c:ext>
              </c:extLst>
              <c:f>Summary!$D$108:$F$108</c:f>
              <c:strCache>
                <c:ptCount val="3"/>
                <c:pt idx="0">
                  <c:v>local learning</c:v>
                </c:pt>
                <c:pt idx="1">
                  <c:v>sampling_nb</c:v>
                </c:pt>
                <c:pt idx="2">
                  <c:v> dist_power_hist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Summary!$C$110:$F$110</c15:sqref>
                  </c15:fullRef>
                </c:ext>
              </c:extLst>
              <c:f>Summary!$D$110:$F$110</c:f>
              <c:numCache>
                <c:formatCode>0.00%</c:formatCode>
                <c:ptCount val="3"/>
                <c:pt idx="0">
                  <c:v>0.95482496857980736</c:v>
                </c:pt>
                <c:pt idx="1">
                  <c:v>0.9434862767901645</c:v>
                </c:pt>
                <c:pt idx="2">
                  <c:v>0.95579664694280086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E-4070-83B0-4831F7DD9F3D}"/>
            </c:ext>
          </c:extLst>
        </c:ser>
        <c:ser>
          <c:idx val="2"/>
          <c:order val="2"/>
          <c:tx>
            <c:strRef>
              <c:f>Summary!$B$111</c:f>
              <c:strCache>
                <c:ptCount val="1"/>
                <c:pt idx="0">
                  <c:v>Ensemble Learning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Summary!$C$108:$F$108</c15:sqref>
                  </c15:fullRef>
                </c:ext>
              </c:extLst>
              <c:f>Summary!$D$108:$F$108</c:f>
              <c:strCache>
                <c:ptCount val="3"/>
                <c:pt idx="0">
                  <c:v>local learning</c:v>
                </c:pt>
                <c:pt idx="1">
                  <c:v>sampling_nb</c:v>
                </c:pt>
                <c:pt idx="2">
                  <c:v> dist_power_hist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Summary!$C$111:$F$111</c15:sqref>
                  </c15:fullRef>
                </c:ext>
              </c:extLst>
              <c:f>Summary!$D$111:$F$111</c:f>
              <c:numCache>
                <c:formatCode>0.00%</c:formatCode>
                <c:ptCount val="3"/>
                <c:pt idx="0">
                  <c:v>0.92519621599509116</c:v>
                </c:pt>
                <c:pt idx="1">
                  <c:v>0.65052434182132057</c:v>
                </c:pt>
                <c:pt idx="2">
                  <c:v>0.92374236453201974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E-4070-83B0-4831F7D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529216"/>
        <c:axId val="311807040"/>
      </c:barChart>
      <c:lineChart>
        <c:grouping val="standard"/>
        <c:varyColors val="0"/>
        <c:ser>
          <c:idx val="3"/>
          <c:order val="3"/>
          <c:tx>
            <c:strRef>
              <c:f>Summary!$B$112</c:f>
              <c:strCache>
                <c:ptCount val="1"/>
                <c:pt idx="0">
                  <c:v>Avg FDL with Markov Chains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Summary!$C$88:$F$88</c15:sqref>
                  </c15:fullRef>
                </c:ext>
              </c:extLst>
              <c:f>Summary!$D$88:$F$88</c:f>
              <c:strCache>
                <c:ptCount val="3"/>
                <c:pt idx="0">
                  <c:v>local learning</c:v>
                </c:pt>
                <c:pt idx="1">
                  <c:v>sampling_nb</c:v>
                </c:pt>
                <c:pt idx="2">
                  <c:v> dist_power_hist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Summary!$C$112:$F$112</c15:sqref>
                  </c15:fullRef>
                </c:ext>
              </c:extLst>
              <c:f>Summary!$D$112:$F$112</c:f>
              <c:numCache>
                <c:formatCode>0.00%</c:formatCode>
                <c:ptCount val="3"/>
                <c:pt idx="0">
                  <c:v>0.8353681462799496</c:v>
                </c:pt>
                <c:pt idx="1">
                  <c:v>0.8353681462799496</c:v>
                </c:pt>
                <c:pt idx="2">
                  <c:v>0.8353681462799496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EE-4070-83B0-4831F7DD9F3D}"/>
            </c:ext>
          </c:extLst>
        </c:ser>
        <c:ser>
          <c:idx val="4"/>
          <c:order val="4"/>
          <c:tx>
            <c:strRef>
              <c:f>Summary!$B$113</c:f>
              <c:strCache>
                <c:ptCount val="1"/>
                <c:pt idx="0">
                  <c:v>Avg FDL with LSTM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Summary!$C$88:$F$88</c15:sqref>
                  </c15:fullRef>
                </c:ext>
              </c:extLst>
              <c:f>Summary!$D$88:$F$88</c:f>
              <c:strCache>
                <c:ptCount val="3"/>
                <c:pt idx="0">
                  <c:v>local learning</c:v>
                </c:pt>
                <c:pt idx="1">
                  <c:v>sampling_nb</c:v>
                </c:pt>
                <c:pt idx="2">
                  <c:v> dist_power_hist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Summary!$C$113:$F$113</c15:sqref>
                  </c15:fullRef>
                </c:ext>
              </c:extLst>
              <c:f>Summary!$D$113:$F$113</c:f>
              <c:numCache>
                <c:formatCode>0.00%</c:formatCode>
                <c:ptCount val="3"/>
                <c:pt idx="0">
                  <c:v>0.94781879764968668</c:v>
                </c:pt>
                <c:pt idx="1">
                  <c:v>0.94781879764968668</c:v>
                </c:pt>
                <c:pt idx="2">
                  <c:v>0.94781879764968668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EE-4070-83B0-4831F7DD9F3D}"/>
            </c:ext>
          </c:extLst>
        </c:ser>
        <c:ser>
          <c:idx val="5"/>
          <c:order val="5"/>
          <c:tx>
            <c:strRef>
              <c:f>Summary!$B$114</c:f>
              <c:strCache>
                <c:ptCount val="1"/>
                <c:pt idx="0">
                  <c:v>Avg Ensemble Learning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Summary!$C$88:$F$88</c15:sqref>
                  </c15:fullRef>
                </c:ext>
              </c:extLst>
              <c:f>Summary!$D$88:$F$88</c:f>
              <c:strCache>
                <c:ptCount val="3"/>
                <c:pt idx="0">
                  <c:v>local learning</c:v>
                </c:pt>
                <c:pt idx="1">
                  <c:v>sampling_nb</c:v>
                </c:pt>
                <c:pt idx="2">
                  <c:v> dist_power_hist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Summary!$C$114:$F$114</c15:sqref>
                  </c15:fullRef>
                </c:ext>
              </c:extLst>
              <c:f>Summary!$D$114:$F$114</c:f>
              <c:numCache>
                <c:formatCode>0.00%</c:formatCode>
                <c:ptCount val="3"/>
                <c:pt idx="0">
                  <c:v>0.86333446636679634</c:v>
                </c:pt>
                <c:pt idx="1">
                  <c:v>0.86333446636679634</c:v>
                </c:pt>
                <c:pt idx="2">
                  <c:v>0.86333446636679634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EE-4070-83B0-4831F7D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529216"/>
        <c:axId val="311807040"/>
      </c:lineChart>
      <c:catAx>
        <c:axId val="2505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Aggregator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1807040"/>
        <c:crosses val="autoZero"/>
        <c:auto val="1"/>
        <c:lblAlgn val="ctr"/>
        <c:lblOffset val="100"/>
        <c:noMultiLvlLbl val="0"/>
      </c:catAx>
      <c:valAx>
        <c:axId val="31180704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Average of accuracies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505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ossip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erated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earning, at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cluster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level: comparing Markov Chain and LSTM models</a:t>
            </a:r>
          </a:p>
        </c:rich>
      </c:tx>
      <c:layout>
        <c:manualLayout>
          <c:xMode val="edge"/>
          <c:yMode val="edge"/>
          <c:x val="0.1165538271570886"/>
          <c:y val="1.9502672681823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Summary!$B$54</c:f>
              <c:strCache>
                <c:ptCount val="1"/>
                <c:pt idx="0">
                  <c:v>Markov Chains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F1-4843-BDAD-A848F026FEED}"/>
              </c:ext>
            </c:extLst>
          </c:dPt>
          <c:cat>
            <c:strRef>
              <c:f>Summary!$C$53:$G$53</c:f>
              <c:strCache>
                <c:ptCount val="5"/>
                <c:pt idx="0">
                  <c:v>local learning</c:v>
                </c:pt>
                <c:pt idx="1">
                  <c:v>power_loss</c:v>
                </c:pt>
                <c:pt idx="2">
                  <c:v>min_loss</c:v>
                </c:pt>
                <c:pt idx="3">
                  <c:v>sampling_nb</c:v>
                </c:pt>
                <c:pt idx="4">
                  <c:v> dist_power_hist</c:v>
                </c:pt>
              </c:strCache>
            </c:strRef>
          </c:cat>
          <c:val>
            <c:numRef>
              <c:f>Summary!$C$54:$G$54</c:f>
              <c:numCache>
                <c:formatCode>0.00%</c:formatCode>
                <c:ptCount val="5"/>
                <c:pt idx="0">
                  <c:v>0.74748660328435601</c:v>
                </c:pt>
                <c:pt idx="1">
                  <c:v>0.74591084337349389</c:v>
                </c:pt>
                <c:pt idx="2">
                  <c:v>0.75419999999999998</c:v>
                </c:pt>
                <c:pt idx="3">
                  <c:v>0.75290000000000001</c:v>
                </c:pt>
                <c:pt idx="4">
                  <c:v>0.75880000000000003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9-4C84-87FD-4606BA193135}"/>
            </c:ext>
          </c:extLst>
        </c:ser>
        <c:ser>
          <c:idx val="1"/>
          <c:order val="1"/>
          <c:tx>
            <c:strRef>
              <c:f>Summary!$B$55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F1-4843-BDAD-A848F026FEED}"/>
              </c:ext>
            </c:extLst>
          </c:dPt>
          <c:cat>
            <c:strRef>
              <c:f>Summary!$C$53:$G$53</c:f>
              <c:strCache>
                <c:ptCount val="5"/>
                <c:pt idx="0">
                  <c:v>local learning</c:v>
                </c:pt>
                <c:pt idx="1">
                  <c:v>power_loss</c:v>
                </c:pt>
                <c:pt idx="2">
                  <c:v>min_loss</c:v>
                </c:pt>
                <c:pt idx="3">
                  <c:v>sampling_nb</c:v>
                </c:pt>
                <c:pt idx="4">
                  <c:v> dist_power_hist</c:v>
                </c:pt>
              </c:strCache>
            </c:strRef>
          </c:cat>
          <c:val>
            <c:numRef>
              <c:f>Summary!$C$55:$G$55</c:f>
              <c:numCache>
                <c:formatCode>0.00%</c:formatCode>
                <c:ptCount val="5"/>
                <c:pt idx="0">
                  <c:v>0.8643530120481927</c:v>
                </c:pt>
                <c:pt idx="1">
                  <c:v>0.89029999999999998</c:v>
                </c:pt>
                <c:pt idx="2">
                  <c:v>0.90029999999999999</c:v>
                </c:pt>
                <c:pt idx="3">
                  <c:v>0.89080000000000004</c:v>
                </c:pt>
                <c:pt idx="4">
                  <c:v>0.89980000000000004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9-4C84-87FD-4606BA193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1"/>
        <c:overlap val="-27"/>
        <c:axId val="250543136"/>
        <c:axId val="148119920"/>
      </c:barChart>
      <c:lineChart>
        <c:grouping val="standard"/>
        <c:varyColors val="0"/>
        <c:ser>
          <c:idx val="2"/>
          <c:order val="2"/>
          <c:tx>
            <c:strRef>
              <c:f>Summary!$B$56</c:f>
              <c:strCache>
                <c:ptCount val="1"/>
                <c:pt idx="0">
                  <c:v>Avg Markov Chains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Summary!$B$53:$G$53</c:f>
              <c:strCache>
                <c:ptCount val="6"/>
                <c:pt idx="0">
                  <c:v>Classifier</c:v>
                </c:pt>
                <c:pt idx="1">
                  <c:v>local learning</c:v>
                </c:pt>
                <c:pt idx="2">
                  <c:v>power_loss</c:v>
                </c:pt>
                <c:pt idx="3">
                  <c:v>min_loss</c:v>
                </c:pt>
                <c:pt idx="4">
                  <c:v>sampling_nb</c:v>
                </c:pt>
                <c:pt idx="5">
                  <c:v> dist_power_hist</c:v>
                </c:pt>
              </c:strCache>
            </c:strRef>
          </c:cat>
          <c:val>
            <c:numRef>
              <c:f>Summary!$C$56:$G$56</c:f>
              <c:numCache>
                <c:formatCode>0.00%</c:formatCode>
                <c:ptCount val="5"/>
                <c:pt idx="0">
                  <c:v>0.75051241890639475</c:v>
                </c:pt>
                <c:pt idx="1">
                  <c:v>0.75051241890639475</c:v>
                </c:pt>
                <c:pt idx="2">
                  <c:v>0.75051241890639475</c:v>
                </c:pt>
                <c:pt idx="3">
                  <c:v>0.75051241890639475</c:v>
                </c:pt>
                <c:pt idx="4">
                  <c:v>0.75051241890639475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9-4C84-87FD-4606BA193135}"/>
            </c:ext>
          </c:extLst>
        </c:ser>
        <c:ser>
          <c:idx val="3"/>
          <c:order val="3"/>
          <c:tx>
            <c:strRef>
              <c:f>Summary!$B$57</c:f>
              <c:strCache>
                <c:ptCount val="1"/>
                <c:pt idx="0">
                  <c:v>Avg LSTM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Summary!$B$53:$G$53</c:f>
              <c:strCache>
                <c:ptCount val="6"/>
                <c:pt idx="0">
                  <c:v>Classifier</c:v>
                </c:pt>
                <c:pt idx="1">
                  <c:v>local learning</c:v>
                </c:pt>
                <c:pt idx="2">
                  <c:v>power_loss</c:v>
                </c:pt>
                <c:pt idx="3">
                  <c:v>min_loss</c:v>
                </c:pt>
                <c:pt idx="4">
                  <c:v>sampling_nb</c:v>
                </c:pt>
                <c:pt idx="5">
                  <c:v> dist_power_hist</c:v>
                </c:pt>
              </c:strCache>
            </c:strRef>
          </c:cat>
          <c:val>
            <c:numRef>
              <c:f>Summary!$C$57:$G$57</c:f>
              <c:numCache>
                <c:formatCode>0.00%</c:formatCode>
                <c:ptCount val="5"/>
                <c:pt idx="0">
                  <c:v>0.88387458786587414</c:v>
                </c:pt>
                <c:pt idx="1">
                  <c:v>0.88387458786587414</c:v>
                </c:pt>
                <c:pt idx="2">
                  <c:v>0.88387458786587414</c:v>
                </c:pt>
                <c:pt idx="3">
                  <c:v>0.88387458786587414</c:v>
                </c:pt>
                <c:pt idx="4">
                  <c:v>0.88387458786587414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59-4C84-87FD-4606BA193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543136"/>
        <c:axId val="148119920"/>
      </c:lineChart>
      <c:catAx>
        <c:axId val="25054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Aggregator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8119920"/>
        <c:crosses val="autoZero"/>
        <c:auto val="1"/>
        <c:lblAlgn val="ctr"/>
        <c:lblOffset val="100"/>
        <c:noMultiLvlLbl val="0"/>
      </c:catAx>
      <c:valAx>
        <c:axId val="148119920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Average of accuracies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5054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</xdr:colOff>
      <xdr:row>36</xdr:row>
      <xdr:rowOff>11428</xdr:rowOff>
    </xdr:from>
    <xdr:to>
      <xdr:col>13</xdr:col>
      <xdr:colOff>535305</xdr:colOff>
      <xdr:row>51</xdr:row>
      <xdr:rowOff>32384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9F46F-C5FC-464B-B399-C72BB1DA5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</xdr:colOff>
      <xdr:row>36</xdr:row>
      <xdr:rowOff>15240</xdr:rowOff>
    </xdr:from>
    <xdr:to>
      <xdr:col>23</xdr:col>
      <xdr:colOff>201930</xdr:colOff>
      <xdr:row>51</xdr:row>
      <xdr:rowOff>118241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4BD406-0593-482D-B935-6F1DEEFD3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20</xdr:row>
      <xdr:rowOff>135255</xdr:rowOff>
    </xdr:from>
    <xdr:to>
      <xdr:col>13</xdr:col>
      <xdr:colOff>531495</xdr:colOff>
      <xdr:row>34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785C2D-29D1-4E7E-955F-482C07CD4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588645</xdr:colOff>
      <xdr:row>20</xdr:row>
      <xdr:rowOff>140970</xdr:rowOff>
    </xdr:from>
    <xdr:to>
      <xdr:col>23</xdr:col>
      <xdr:colOff>173355</xdr:colOff>
      <xdr:row>34</xdr:row>
      <xdr:rowOff>140970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83CEB2-475D-4096-A39A-B1DCD9F7D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780379</xdr:colOff>
      <xdr:row>68</xdr:row>
      <xdr:rowOff>59748</xdr:rowOff>
    </xdr:from>
    <xdr:to>
      <xdr:col>13</xdr:col>
      <xdr:colOff>1033909</xdr:colOff>
      <xdr:row>83</xdr:row>
      <xdr:rowOff>98729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06525-35CA-48D5-AB2B-6BB54F71D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914293</xdr:colOff>
      <xdr:row>86</xdr:row>
      <xdr:rowOff>0</xdr:rowOff>
    </xdr:from>
    <xdr:to>
      <xdr:col>11</xdr:col>
      <xdr:colOff>939363</xdr:colOff>
      <xdr:row>104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EB57CB-76F8-9D55-E0EF-9473CB66E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208360</xdr:colOff>
      <xdr:row>68</xdr:row>
      <xdr:rowOff>57315</xdr:rowOff>
    </xdr:from>
    <xdr:to>
      <xdr:col>23</xdr:col>
      <xdr:colOff>289084</xdr:colOff>
      <xdr:row>83</xdr:row>
      <xdr:rowOff>115957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EDBB4B-CF8E-4DB2-B86B-8D4EF2148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828261</xdr:colOff>
      <xdr:row>104</xdr:row>
      <xdr:rowOff>173935</xdr:rowOff>
    </xdr:from>
    <xdr:to>
      <xdr:col>11</xdr:col>
      <xdr:colOff>845711</xdr:colOff>
      <xdr:row>123</xdr:row>
      <xdr:rowOff>128428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3BDE81-3C49-4059-8400-80A1A2992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19594</xdr:colOff>
      <xdr:row>51</xdr:row>
      <xdr:rowOff>81643</xdr:rowOff>
    </xdr:from>
    <xdr:to>
      <xdr:col>13</xdr:col>
      <xdr:colOff>439240</xdr:colOff>
      <xdr:row>68</xdr:row>
      <xdr:rowOff>54995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E66889B-40AD-0477-C92E-8C9D47E25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15</xdr:row>
      <xdr:rowOff>21906</xdr:rowOff>
    </xdr:from>
    <xdr:to>
      <xdr:col>13</xdr:col>
      <xdr:colOff>552450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2648A-7A68-BF6A-EEBC-60D227FDF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</xdr:colOff>
      <xdr:row>15</xdr:row>
      <xdr:rowOff>29526</xdr:rowOff>
    </xdr:from>
    <xdr:to>
      <xdr:col>23</xdr:col>
      <xdr:colOff>132397</xdr:colOff>
      <xdr:row>28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E94D63-0D36-9DFC-DA51-2953B75F4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</xdr:colOff>
      <xdr:row>43</xdr:row>
      <xdr:rowOff>11428</xdr:rowOff>
    </xdr:from>
    <xdr:to>
      <xdr:col>13</xdr:col>
      <xdr:colOff>535305</xdr:colOff>
      <xdr:row>55</xdr:row>
      <xdr:rowOff>32384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372567-DDCE-4134-ACED-96A377360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43</xdr:row>
      <xdr:rowOff>19050</xdr:rowOff>
    </xdr:from>
    <xdr:to>
      <xdr:col>23</xdr:col>
      <xdr:colOff>200025</xdr:colOff>
      <xdr:row>55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A0F51A-F209-4125-86E0-EEFDF58F4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29</xdr:row>
      <xdr:rowOff>139065</xdr:rowOff>
    </xdr:from>
    <xdr:to>
      <xdr:col>13</xdr:col>
      <xdr:colOff>531495</xdr:colOff>
      <xdr:row>41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12A80-03AD-425F-B3B4-C9495D8A7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588645</xdr:colOff>
      <xdr:row>29</xdr:row>
      <xdr:rowOff>140970</xdr:rowOff>
    </xdr:from>
    <xdr:to>
      <xdr:col>23</xdr:col>
      <xdr:colOff>173355</xdr:colOff>
      <xdr:row>41</xdr:row>
      <xdr:rowOff>140970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80B41B-FB15-41A1-A8B6-86AF03E73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702945</xdr:colOff>
      <xdr:row>56</xdr:row>
      <xdr:rowOff>0</xdr:rowOff>
    </xdr:from>
    <xdr:to>
      <xdr:col>15</xdr:col>
      <xdr:colOff>278130</xdr:colOff>
      <xdr:row>69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8BA7AB-7564-D04B-A694-D69FB15C3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8"/>
  <sheetViews>
    <sheetView topLeftCell="A4" zoomScaleNormal="100" workbookViewId="0">
      <selection activeCell="C29" sqref="C29"/>
    </sheetView>
  </sheetViews>
  <sheetFormatPr defaultRowHeight="14.4" x14ac:dyDescent="0.3"/>
  <cols>
    <col min="1" max="1" width="8.77734375" bestFit="1" customWidth="1"/>
    <col min="2" max="2" width="8.44140625" bestFit="1" customWidth="1"/>
    <col min="3" max="3" width="15.21875" bestFit="1" customWidth="1"/>
    <col min="4" max="4" width="8" bestFit="1" customWidth="1"/>
    <col min="5" max="5" width="15.44140625" bestFit="1" customWidth="1"/>
    <col min="6" max="6" width="17.33203125" customWidth="1"/>
    <col min="7" max="7" width="11.6640625" bestFit="1" customWidth="1"/>
    <col min="15" max="15" width="11.77734375" style="70" customWidth="1"/>
    <col min="16" max="16" width="12.33203125" style="14" customWidth="1"/>
    <col min="17" max="17" width="16.77734375" style="14" customWidth="1"/>
    <col min="18" max="18" width="12.88671875" style="17" bestFit="1" customWidth="1"/>
    <col min="19" max="19" width="12.88671875" style="42" customWidth="1"/>
    <col min="20" max="20" width="12" style="14" customWidth="1"/>
    <col min="21" max="21" width="8.88671875" style="7"/>
    <col min="22" max="22" width="14.44140625" style="35" customWidth="1"/>
    <col min="23" max="23" width="16.5546875" style="31" customWidth="1"/>
    <col min="24" max="24" width="16.5546875" style="35" customWidth="1"/>
  </cols>
  <sheetData>
    <row r="1" spans="1:24" s="18" customFormat="1" ht="28.8" x14ac:dyDescent="0.3">
      <c r="A1" s="18" t="s">
        <v>4</v>
      </c>
      <c r="B1" s="18" t="s">
        <v>5</v>
      </c>
      <c r="C1" s="18" t="s">
        <v>18</v>
      </c>
      <c r="D1" s="19" t="s">
        <v>6</v>
      </c>
      <c r="E1" s="19" t="s">
        <v>19</v>
      </c>
      <c r="F1" s="19" t="s">
        <v>48</v>
      </c>
      <c r="G1" s="19"/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29" t="s">
        <v>96</v>
      </c>
      <c r="P1" s="19" t="s">
        <v>75</v>
      </c>
      <c r="Q1" s="19" t="s">
        <v>20</v>
      </c>
      <c r="R1" s="71" t="s">
        <v>36</v>
      </c>
      <c r="S1" s="40" t="s">
        <v>35</v>
      </c>
      <c r="T1" s="4" t="s">
        <v>21</v>
      </c>
      <c r="U1" s="6" t="s">
        <v>22</v>
      </c>
      <c r="V1" s="33" t="s">
        <v>37</v>
      </c>
      <c r="W1" s="29" t="s">
        <v>74</v>
      </c>
      <c r="X1" s="33" t="s">
        <v>38</v>
      </c>
    </row>
    <row r="2" spans="1:24" s="13" customFormat="1" x14ac:dyDescent="0.3">
      <c r="A2" s="13" t="s">
        <v>0</v>
      </c>
      <c r="B2" s="13" t="s">
        <v>1</v>
      </c>
      <c r="C2" s="13" t="s">
        <v>2</v>
      </c>
      <c r="D2" s="20" t="s">
        <v>3</v>
      </c>
      <c r="E2" s="21">
        <v>45407</v>
      </c>
      <c r="F2" s="20">
        <v>18</v>
      </c>
      <c r="G2" s="20"/>
      <c r="H2" s="25">
        <v>8.8099999999999998E-2</v>
      </c>
      <c r="I2" s="25">
        <v>0.32669999999999999</v>
      </c>
      <c r="J2" s="25">
        <v>0.51170000000000004</v>
      </c>
      <c r="K2" s="25">
        <v>5.6399999999999999E-2</v>
      </c>
      <c r="L2" s="25">
        <v>1.24E-2</v>
      </c>
      <c r="M2" s="25">
        <v>3.3999999999999998E-3</v>
      </c>
      <c r="N2" s="25">
        <v>1.1999999999999999E-3</v>
      </c>
      <c r="O2" s="67">
        <v>2148</v>
      </c>
      <c r="P2" s="12">
        <v>0.122</v>
      </c>
      <c r="Q2" s="12">
        <v>0.71199999999999997</v>
      </c>
      <c r="R2" s="9">
        <v>0.87846000000000002</v>
      </c>
      <c r="S2" s="41">
        <f>(R2-U2)/(1-U2)</f>
        <v>0.87846000000000002</v>
      </c>
      <c r="T2" s="15">
        <v>0.28781000000000001</v>
      </c>
      <c r="U2" s="10">
        <v>0</v>
      </c>
      <c r="V2" s="34">
        <f t="shared" ref="V2:V52" si="0">O2*R2</f>
        <v>1886.93208</v>
      </c>
      <c r="W2" s="30">
        <f t="shared" ref="W2:W52" si="1">O2*(1-U2)</f>
        <v>2148</v>
      </c>
      <c r="X2" s="34">
        <f t="shared" ref="X2:X52" si="2">S2*W2</f>
        <v>1886.93208</v>
      </c>
    </row>
    <row r="3" spans="1:24" s="3" customFormat="1" x14ac:dyDescent="0.3">
      <c r="A3" s="13" t="s">
        <v>0</v>
      </c>
      <c r="B3" s="13" t="s">
        <v>14</v>
      </c>
      <c r="C3" s="13" t="s">
        <v>2</v>
      </c>
      <c r="D3" s="20" t="s">
        <v>3</v>
      </c>
      <c r="E3" s="22">
        <v>45411</v>
      </c>
      <c r="F3" s="20">
        <v>24</v>
      </c>
      <c r="G3" s="2"/>
      <c r="H3" s="25">
        <v>8.6199999999999999E-2</v>
      </c>
      <c r="I3" s="25">
        <v>0.28539999999999999</v>
      </c>
      <c r="J3" s="25">
        <v>0.4899</v>
      </c>
      <c r="K3" s="25">
        <v>0.1124</v>
      </c>
      <c r="L3" s="25">
        <v>1.7299999999999999E-2</v>
      </c>
      <c r="M3" s="25">
        <v>6.3E-3</v>
      </c>
      <c r="N3" s="25">
        <v>2.5000000000000001E-3</v>
      </c>
      <c r="O3" s="67">
        <v>3406</v>
      </c>
      <c r="P3" s="12">
        <v>0.17199999999999999</v>
      </c>
      <c r="Q3" s="12">
        <v>0.85</v>
      </c>
      <c r="R3" s="9">
        <v>0.82772000000000001</v>
      </c>
      <c r="S3" s="41">
        <f t="shared" ref="S3:S41" si="3">(R3-U3)/(1-U3)</f>
        <v>0.82772000000000001</v>
      </c>
      <c r="T3" s="15">
        <v>0.15049999999999999</v>
      </c>
      <c r="U3" s="10">
        <v>0</v>
      </c>
      <c r="V3" s="34">
        <f t="shared" si="0"/>
        <v>2819.21432</v>
      </c>
      <c r="W3" s="30">
        <f t="shared" si="1"/>
        <v>3406</v>
      </c>
      <c r="X3" s="34">
        <f t="shared" si="2"/>
        <v>2819.21432</v>
      </c>
    </row>
    <row r="4" spans="1:24" s="13" customFormat="1" ht="13.8" customHeight="1" x14ac:dyDescent="0.3">
      <c r="A4" s="13" t="s">
        <v>0</v>
      </c>
      <c r="B4" s="13" t="s">
        <v>14</v>
      </c>
      <c r="D4" s="20" t="s">
        <v>3</v>
      </c>
      <c r="E4" s="22">
        <v>45411</v>
      </c>
      <c r="F4" s="20">
        <v>18</v>
      </c>
      <c r="G4" s="20"/>
      <c r="H4" s="25">
        <v>0.1053</v>
      </c>
      <c r="I4" s="25">
        <v>0.5706</v>
      </c>
      <c r="J4" s="25">
        <v>0.30020000000000002</v>
      </c>
      <c r="K4" s="25">
        <v>1.01E-2</v>
      </c>
      <c r="L4" s="25">
        <v>1.37E-2</v>
      </c>
      <c r="M4" s="20"/>
      <c r="N4" s="20"/>
      <c r="O4" s="67">
        <v>2196</v>
      </c>
      <c r="P4" s="12">
        <v>0.20699999999999999</v>
      </c>
      <c r="Q4" s="12">
        <v>0.51700000000000002</v>
      </c>
      <c r="R4" s="9">
        <v>0.79315999999999998</v>
      </c>
      <c r="S4" s="41">
        <f t="shared" si="3"/>
        <v>0.79315999999999998</v>
      </c>
      <c r="T4" s="15">
        <v>0.48261999999999999</v>
      </c>
      <c r="U4" s="10">
        <v>0</v>
      </c>
      <c r="V4" s="34">
        <f t="shared" si="0"/>
        <v>1741.77936</v>
      </c>
      <c r="W4" s="30">
        <f t="shared" si="1"/>
        <v>2196</v>
      </c>
      <c r="X4" s="34">
        <f t="shared" si="2"/>
        <v>1741.77936</v>
      </c>
    </row>
    <row r="5" spans="1:24" s="13" customFormat="1" x14ac:dyDescent="0.3">
      <c r="A5" s="13" t="s">
        <v>0</v>
      </c>
      <c r="B5" s="13" t="s">
        <v>14</v>
      </c>
      <c r="C5" s="13" t="s">
        <v>2</v>
      </c>
      <c r="D5" s="20" t="s">
        <v>3</v>
      </c>
      <c r="E5" s="22">
        <v>45412</v>
      </c>
      <c r="F5" s="20">
        <v>18</v>
      </c>
      <c r="G5" s="20"/>
      <c r="H5" s="25">
        <v>0.60009999999999997</v>
      </c>
      <c r="I5" s="25">
        <v>0.2732</v>
      </c>
      <c r="J5" s="25">
        <v>9.1600000000000001E-2</v>
      </c>
      <c r="K5" s="25">
        <v>2.3400000000000001E-2</v>
      </c>
      <c r="L5" s="25">
        <v>8.0000000000000002E-3</v>
      </c>
      <c r="M5" s="25">
        <v>2.3E-3</v>
      </c>
      <c r="N5" s="25">
        <v>1.2999999999999999E-3</v>
      </c>
      <c r="O5" s="67">
        <v>2796</v>
      </c>
      <c r="P5" s="12">
        <v>0.14799999999999999</v>
      </c>
      <c r="Q5" s="12">
        <v>0.22700000000000001</v>
      </c>
      <c r="R5" s="9">
        <v>0.85238000000000003</v>
      </c>
      <c r="S5" s="41">
        <f t="shared" si="3"/>
        <v>0.70476000000000005</v>
      </c>
      <c r="T5" s="15">
        <v>0.77341000000000004</v>
      </c>
      <c r="U5" s="10">
        <v>0.5</v>
      </c>
      <c r="V5" s="34">
        <f t="shared" si="0"/>
        <v>2383.2544800000001</v>
      </c>
      <c r="W5" s="30">
        <f t="shared" si="1"/>
        <v>1398</v>
      </c>
      <c r="X5" s="34">
        <f t="shared" si="2"/>
        <v>985.25448000000006</v>
      </c>
    </row>
    <row r="6" spans="1:24" s="13" customFormat="1" x14ac:dyDescent="0.3">
      <c r="A6" s="13" t="s">
        <v>0</v>
      </c>
      <c r="B6" s="13" t="s">
        <v>1</v>
      </c>
      <c r="C6" s="13" t="s">
        <v>2</v>
      </c>
      <c r="D6" s="20" t="s">
        <v>3</v>
      </c>
      <c r="E6" s="22">
        <v>45414</v>
      </c>
      <c r="F6" s="20">
        <v>18</v>
      </c>
      <c r="G6" s="20"/>
      <c r="H6" s="25">
        <v>6.8900000000000003E-2</v>
      </c>
      <c r="I6" s="25">
        <v>0.25540000000000002</v>
      </c>
      <c r="J6" s="25">
        <v>0.46929999999999999</v>
      </c>
      <c r="K6" s="25">
        <v>0.15110000000000001</v>
      </c>
      <c r="L6" s="25">
        <v>4.3400000000000001E-2</v>
      </c>
      <c r="M6" s="25">
        <v>9.1000000000000004E-3</v>
      </c>
      <c r="N6" s="25">
        <v>2.8E-3</v>
      </c>
      <c r="O6" s="67">
        <v>2826</v>
      </c>
      <c r="P6" s="12">
        <v>0.19</v>
      </c>
      <c r="Q6" s="12">
        <v>0.97699999999999998</v>
      </c>
      <c r="R6" s="9">
        <v>0.80962999999999996</v>
      </c>
      <c r="S6" s="41">
        <f t="shared" si="3"/>
        <v>0.80962999999999996</v>
      </c>
      <c r="T6" s="15">
        <v>2.257E-2</v>
      </c>
      <c r="U6" s="10">
        <v>0</v>
      </c>
      <c r="V6" s="34">
        <f t="shared" si="0"/>
        <v>2288.0143800000001</v>
      </c>
      <c r="W6" s="30">
        <f t="shared" si="1"/>
        <v>2826</v>
      </c>
      <c r="X6" s="34">
        <f t="shared" si="2"/>
        <v>2288.0143800000001</v>
      </c>
    </row>
    <row r="7" spans="1:24" s="13" customFormat="1" x14ac:dyDescent="0.3">
      <c r="A7" s="13" t="s">
        <v>0</v>
      </c>
      <c r="B7" s="13" t="s">
        <v>14</v>
      </c>
      <c r="D7" s="20" t="s">
        <v>3</v>
      </c>
      <c r="E7" s="22">
        <v>45414</v>
      </c>
      <c r="F7" s="20">
        <v>24</v>
      </c>
      <c r="G7" s="20"/>
      <c r="H7" s="25">
        <v>0.61650000000000005</v>
      </c>
      <c r="I7" s="25">
        <v>0.32250000000000001</v>
      </c>
      <c r="J7" s="25">
        <v>6.0999999999999999E-2</v>
      </c>
      <c r="K7" s="20"/>
      <c r="L7" s="20"/>
      <c r="M7" s="20"/>
      <c r="N7" s="20"/>
      <c r="O7" s="67">
        <v>3456</v>
      </c>
      <c r="P7" s="12">
        <v>6.9000000000000006E-2</v>
      </c>
      <c r="Q7" s="12">
        <v>0.14099999999999999</v>
      </c>
      <c r="R7" s="9">
        <v>0.93125999999999998</v>
      </c>
      <c r="S7" s="41">
        <f t="shared" si="3"/>
        <v>0.86251999999999995</v>
      </c>
      <c r="T7" s="15">
        <v>0.85855999999999999</v>
      </c>
      <c r="U7" s="10">
        <v>0.5</v>
      </c>
      <c r="V7" s="34">
        <f t="shared" si="0"/>
        <v>3218.4345599999997</v>
      </c>
      <c r="W7" s="30">
        <f t="shared" si="1"/>
        <v>1728</v>
      </c>
      <c r="X7" s="34">
        <f t="shared" si="2"/>
        <v>1490.4345599999999</v>
      </c>
    </row>
    <row r="8" spans="1:24" s="13" customFormat="1" x14ac:dyDescent="0.3">
      <c r="A8" s="13" t="s">
        <v>0</v>
      </c>
      <c r="B8" s="20" t="s">
        <v>14</v>
      </c>
      <c r="D8" s="20" t="s">
        <v>3</v>
      </c>
      <c r="E8" s="22">
        <v>45414</v>
      </c>
      <c r="F8" s="20">
        <v>24</v>
      </c>
      <c r="G8" s="20"/>
      <c r="H8" s="25">
        <v>9.2499999999999999E-2</v>
      </c>
      <c r="I8" s="25">
        <v>0.33250000000000002</v>
      </c>
      <c r="J8" s="25">
        <v>0.41370000000000001</v>
      </c>
      <c r="K8" s="25">
        <v>0.12</v>
      </c>
      <c r="L8" s="25">
        <v>3.1E-2</v>
      </c>
      <c r="M8" s="25">
        <v>7.1999999999999998E-3</v>
      </c>
      <c r="N8" s="25">
        <v>3.0999999999999999E-3</v>
      </c>
      <c r="O8" s="67">
        <v>3324</v>
      </c>
      <c r="P8" s="12">
        <v>0.19800000000000001</v>
      </c>
      <c r="Q8" s="12">
        <v>0.94099999999999995</v>
      </c>
      <c r="R8" s="9">
        <v>0.80245</v>
      </c>
      <c r="S8" s="41">
        <f t="shared" si="3"/>
        <v>0.80245</v>
      </c>
      <c r="T8" s="15">
        <v>5.91E-2</v>
      </c>
      <c r="U8" s="10">
        <v>0</v>
      </c>
      <c r="V8" s="34">
        <f t="shared" si="0"/>
        <v>2667.3438000000001</v>
      </c>
      <c r="W8" s="30">
        <f t="shared" si="1"/>
        <v>3324</v>
      </c>
      <c r="X8" s="34">
        <f t="shared" si="2"/>
        <v>2667.3438000000001</v>
      </c>
    </row>
    <row r="9" spans="1:24" s="13" customFormat="1" x14ac:dyDescent="0.3">
      <c r="A9" s="13" t="s">
        <v>0</v>
      </c>
      <c r="B9" s="20" t="s">
        <v>14</v>
      </c>
      <c r="C9" s="20"/>
      <c r="D9" s="20" t="s">
        <v>3</v>
      </c>
      <c r="E9" s="22">
        <v>45414</v>
      </c>
      <c r="F9" s="20">
        <v>7</v>
      </c>
      <c r="G9" s="20"/>
      <c r="H9" s="25">
        <v>0.51359999999999995</v>
      </c>
      <c r="I9" s="25">
        <v>0.4864</v>
      </c>
      <c r="J9" s="20"/>
      <c r="K9" s="20"/>
      <c r="L9" s="20"/>
      <c r="M9" s="20"/>
      <c r="N9" s="20"/>
      <c r="O9" s="67">
        <v>306</v>
      </c>
      <c r="P9" s="12">
        <v>2.1999999999999999E-2</v>
      </c>
      <c r="Q9" s="12">
        <v>2.4E-2</v>
      </c>
      <c r="R9" s="9">
        <v>0.97770000000000001</v>
      </c>
      <c r="S9" s="41">
        <f t="shared" si="3"/>
        <v>0.95152173913043481</v>
      </c>
      <c r="T9" s="12">
        <v>0</v>
      </c>
      <c r="U9" s="10">
        <v>0.54</v>
      </c>
      <c r="V9" s="34">
        <f t="shared" si="0"/>
        <v>299.17619999999999</v>
      </c>
      <c r="W9" s="30">
        <f t="shared" si="1"/>
        <v>140.76</v>
      </c>
      <c r="X9" s="34">
        <f t="shared" si="2"/>
        <v>133.93619999999999</v>
      </c>
    </row>
    <row r="10" spans="1:24" s="13" customFormat="1" x14ac:dyDescent="0.3">
      <c r="A10" s="13" t="s">
        <v>0</v>
      </c>
      <c r="B10" s="20" t="s">
        <v>1</v>
      </c>
      <c r="C10" s="20" t="s">
        <v>2</v>
      </c>
      <c r="D10" s="20" t="s">
        <v>3</v>
      </c>
      <c r="E10" s="22">
        <v>45414</v>
      </c>
      <c r="F10" s="20">
        <v>7</v>
      </c>
      <c r="G10" s="20"/>
      <c r="H10" s="25">
        <v>8.3400000000000002E-2</v>
      </c>
      <c r="I10" s="25">
        <v>0.59809999999999997</v>
      </c>
      <c r="J10" s="25">
        <v>0.3024</v>
      </c>
      <c r="K10" s="25">
        <v>6.8999999999999999E-3</v>
      </c>
      <c r="L10" s="25">
        <v>9.1000000000000004E-3</v>
      </c>
      <c r="M10" s="20"/>
      <c r="N10" s="20"/>
      <c r="O10" s="67">
        <v>306</v>
      </c>
      <c r="P10" s="12">
        <v>0.27800000000000002</v>
      </c>
      <c r="Q10" s="12">
        <v>0.45800000000000002</v>
      </c>
      <c r="R10" s="9">
        <v>0.72202999999999995</v>
      </c>
      <c r="S10" s="41">
        <f t="shared" si="3"/>
        <v>0.72202999999999995</v>
      </c>
      <c r="T10" s="12">
        <v>5.1999999999999998E-2</v>
      </c>
      <c r="U10" s="10">
        <v>0</v>
      </c>
      <c r="V10" s="34">
        <f t="shared" si="0"/>
        <v>220.94117999999997</v>
      </c>
      <c r="W10" s="30">
        <f t="shared" si="1"/>
        <v>306</v>
      </c>
      <c r="X10" s="34">
        <f t="shared" si="2"/>
        <v>220.94117999999997</v>
      </c>
    </row>
    <row r="11" spans="1:24" s="13" customFormat="1" x14ac:dyDescent="0.3">
      <c r="A11" s="13" t="s">
        <v>0</v>
      </c>
      <c r="B11" s="20" t="s">
        <v>14</v>
      </c>
      <c r="C11" s="20"/>
      <c r="D11" s="20" t="s">
        <v>3</v>
      </c>
      <c r="E11" s="22">
        <v>45414</v>
      </c>
      <c r="F11" s="20">
        <v>12</v>
      </c>
      <c r="G11" s="20"/>
      <c r="H11" s="25">
        <v>0.1086</v>
      </c>
      <c r="I11" s="25">
        <v>0.57799999999999996</v>
      </c>
      <c r="J11" s="25">
        <v>0.29089999999999999</v>
      </c>
      <c r="K11" s="25">
        <v>0.01</v>
      </c>
      <c r="L11" s="25">
        <v>1.2500000000000001E-2</v>
      </c>
      <c r="M11" s="20"/>
      <c r="N11" s="20"/>
      <c r="O11" s="67">
        <v>276</v>
      </c>
      <c r="P11" s="12">
        <v>0.317</v>
      </c>
      <c r="Q11" s="12">
        <v>0.83</v>
      </c>
      <c r="R11" s="9">
        <v>0.68293000000000004</v>
      </c>
      <c r="S11" s="41">
        <f t="shared" si="3"/>
        <v>0.68293000000000004</v>
      </c>
      <c r="T11" s="12">
        <v>6.6000000000000003E-2</v>
      </c>
      <c r="U11" s="10">
        <v>0</v>
      </c>
      <c r="V11" s="34">
        <f t="shared" si="0"/>
        <v>188.48868000000002</v>
      </c>
      <c r="W11" s="30">
        <f t="shared" si="1"/>
        <v>276</v>
      </c>
      <c r="X11" s="34">
        <f t="shared" si="2"/>
        <v>188.48868000000002</v>
      </c>
    </row>
    <row r="12" spans="1:24" s="13" customFormat="1" x14ac:dyDescent="0.3">
      <c r="A12" s="13" t="s">
        <v>0</v>
      </c>
      <c r="B12" s="20" t="s">
        <v>1</v>
      </c>
      <c r="C12" s="20" t="s">
        <v>15</v>
      </c>
      <c r="D12" s="20" t="s">
        <v>3</v>
      </c>
      <c r="E12" s="22">
        <v>45415</v>
      </c>
      <c r="F12" s="20">
        <v>18</v>
      </c>
      <c r="G12" s="20"/>
      <c r="H12" s="25">
        <v>7.2900000000000006E-2</v>
      </c>
      <c r="I12" s="25">
        <v>0.36580000000000001</v>
      </c>
      <c r="J12" s="25">
        <v>0.41720000000000002</v>
      </c>
      <c r="K12" s="25">
        <v>7.5499999999999998E-2</v>
      </c>
      <c r="L12" s="25">
        <v>5.6800000000000003E-2</v>
      </c>
      <c r="M12" s="25">
        <v>7.1000000000000004E-3</v>
      </c>
      <c r="N12" s="25">
        <v>4.7999999999999996E-3</v>
      </c>
      <c r="O12" s="67">
        <v>1428</v>
      </c>
      <c r="P12" s="12">
        <v>0.33900000000000002</v>
      </c>
      <c r="Q12" s="12">
        <v>0.72499999999999998</v>
      </c>
      <c r="R12" s="9">
        <v>0.66088999999999998</v>
      </c>
      <c r="S12" s="41">
        <f t="shared" si="3"/>
        <v>0.66088999999999998</v>
      </c>
      <c r="T12" s="12">
        <v>0.53900000000000003</v>
      </c>
      <c r="U12" s="10">
        <v>0</v>
      </c>
      <c r="V12" s="34">
        <f t="shared" si="0"/>
        <v>943.75091999999995</v>
      </c>
      <c r="W12" s="30">
        <f t="shared" si="1"/>
        <v>1428</v>
      </c>
      <c r="X12" s="34">
        <f t="shared" si="2"/>
        <v>943.75091999999995</v>
      </c>
    </row>
    <row r="13" spans="1:24" s="13" customFormat="1" x14ac:dyDescent="0.3">
      <c r="A13" s="13" t="s">
        <v>0</v>
      </c>
      <c r="B13" s="20" t="s">
        <v>14</v>
      </c>
      <c r="C13" s="20"/>
      <c r="D13" s="20" t="s">
        <v>3</v>
      </c>
      <c r="E13" s="22">
        <v>45415</v>
      </c>
      <c r="F13" s="20">
        <v>18</v>
      </c>
      <c r="G13" s="20"/>
      <c r="H13" s="25">
        <v>0.61739999999999995</v>
      </c>
      <c r="I13" s="25">
        <v>0.32079999999999997</v>
      </c>
      <c r="J13" s="25">
        <v>6.1699999999999998E-2</v>
      </c>
      <c r="K13" s="20"/>
      <c r="L13" s="20"/>
      <c r="M13" s="20"/>
      <c r="N13" s="20"/>
      <c r="O13" s="67">
        <v>1584</v>
      </c>
      <c r="P13" s="12">
        <v>7.0999999999999994E-2</v>
      </c>
      <c r="Q13" s="12">
        <v>0.13500000000000001</v>
      </c>
      <c r="R13" s="9">
        <v>0.92881000000000002</v>
      </c>
      <c r="S13" s="41">
        <f t="shared" si="3"/>
        <v>0.85762000000000005</v>
      </c>
      <c r="T13" s="12">
        <v>9.1999999999999998E-2</v>
      </c>
      <c r="U13" s="10">
        <v>0.5</v>
      </c>
      <c r="V13" s="34">
        <f t="shared" si="0"/>
        <v>1471.23504</v>
      </c>
      <c r="W13" s="30">
        <f t="shared" si="1"/>
        <v>792</v>
      </c>
      <c r="X13" s="34">
        <f t="shared" si="2"/>
        <v>679.23504000000003</v>
      </c>
    </row>
    <row r="14" spans="1:24" s="13" customFormat="1" x14ac:dyDescent="0.3">
      <c r="A14" s="13" t="s">
        <v>0</v>
      </c>
      <c r="B14" s="20" t="s">
        <v>14</v>
      </c>
      <c r="C14" s="20" t="s">
        <v>15</v>
      </c>
      <c r="D14" s="20" t="s">
        <v>3</v>
      </c>
      <c r="E14" s="22">
        <v>45415</v>
      </c>
      <c r="F14" s="20">
        <v>18</v>
      </c>
      <c r="G14" s="20"/>
      <c r="H14" s="25">
        <v>0.62</v>
      </c>
      <c r="I14" s="25">
        <v>0.32219999999999999</v>
      </c>
      <c r="J14" s="25">
        <v>5.7799999999999997E-2</v>
      </c>
      <c r="K14" s="20"/>
      <c r="L14" s="20"/>
      <c r="M14" s="20"/>
      <c r="N14" s="20"/>
      <c r="O14" s="67">
        <v>1608</v>
      </c>
      <c r="P14" s="12">
        <v>7.0000000000000007E-2</v>
      </c>
      <c r="Q14" s="12">
        <v>0.13</v>
      </c>
      <c r="R14" s="9">
        <v>0.93008000000000002</v>
      </c>
      <c r="S14" s="41">
        <f t="shared" si="3"/>
        <v>0.86016000000000004</v>
      </c>
      <c r="T14" s="12">
        <v>8.8999999999999996E-2</v>
      </c>
      <c r="U14" s="10">
        <v>0.5</v>
      </c>
      <c r="V14" s="34">
        <f t="shared" si="0"/>
        <v>1495.56864</v>
      </c>
      <c r="W14" s="30">
        <f t="shared" si="1"/>
        <v>804</v>
      </c>
      <c r="X14" s="34">
        <f t="shared" si="2"/>
        <v>691.56864000000007</v>
      </c>
    </row>
    <row r="15" spans="1:24" s="13" customFormat="1" x14ac:dyDescent="0.3">
      <c r="A15" s="13" t="s">
        <v>0</v>
      </c>
      <c r="B15" s="20" t="s">
        <v>14</v>
      </c>
      <c r="C15" s="20" t="s">
        <v>15</v>
      </c>
      <c r="D15" s="20" t="s">
        <v>3</v>
      </c>
      <c r="E15" s="22">
        <v>45415</v>
      </c>
      <c r="F15" s="20">
        <v>18</v>
      </c>
      <c r="G15" s="20"/>
      <c r="H15" s="25">
        <v>0.1038</v>
      </c>
      <c r="I15" s="25">
        <v>0.35870000000000002</v>
      </c>
      <c r="J15" s="25">
        <v>0.35799999999999998</v>
      </c>
      <c r="K15" s="25">
        <v>0.1341</v>
      </c>
      <c r="L15" s="25">
        <v>3.3500000000000002E-2</v>
      </c>
      <c r="M15" s="25">
        <v>8.6E-3</v>
      </c>
      <c r="N15" s="25">
        <v>3.3E-3</v>
      </c>
      <c r="O15" s="67">
        <v>1668</v>
      </c>
      <c r="P15" s="12">
        <v>0.185</v>
      </c>
      <c r="Q15" s="12">
        <v>1.0089999999999999</v>
      </c>
      <c r="R15" s="9">
        <v>0.81542000000000003</v>
      </c>
      <c r="S15" s="41">
        <f t="shared" si="3"/>
        <v>0.81542000000000003</v>
      </c>
      <c r="T15" s="12">
        <v>1.2030000000000001</v>
      </c>
      <c r="U15" s="10">
        <v>0</v>
      </c>
      <c r="V15" s="34">
        <f t="shared" si="0"/>
        <v>1360.1205600000001</v>
      </c>
      <c r="W15" s="30">
        <f t="shared" si="1"/>
        <v>1668</v>
      </c>
      <c r="X15" s="34">
        <f t="shared" si="2"/>
        <v>1360.1205600000001</v>
      </c>
    </row>
    <row r="16" spans="1:24" s="13" customFormat="1" x14ac:dyDescent="0.3">
      <c r="A16" s="13" t="s">
        <v>16</v>
      </c>
      <c r="B16" s="20" t="s">
        <v>14</v>
      </c>
      <c r="C16" s="20" t="s">
        <v>2</v>
      </c>
      <c r="D16" s="20" t="s">
        <v>3</v>
      </c>
      <c r="E16" s="22">
        <v>45415</v>
      </c>
      <c r="F16" s="20">
        <v>18</v>
      </c>
      <c r="G16" s="20"/>
      <c r="H16" s="25">
        <v>0.63900000000000001</v>
      </c>
      <c r="I16" s="25">
        <v>0.3543</v>
      </c>
      <c r="J16" s="25">
        <v>6.6E-3</v>
      </c>
      <c r="K16" s="25">
        <v>1E-4</v>
      </c>
      <c r="L16" s="25">
        <v>0</v>
      </c>
      <c r="M16" s="20"/>
      <c r="N16" s="20"/>
      <c r="O16" s="67">
        <v>2820</v>
      </c>
      <c r="P16" s="12">
        <v>0.02</v>
      </c>
      <c r="Q16" s="12">
        <v>9.5000000000000001E-2</v>
      </c>
      <c r="R16" s="9">
        <v>0.98031000000000001</v>
      </c>
      <c r="S16" s="41">
        <f t="shared" si="3"/>
        <v>0.96062000000000003</v>
      </c>
      <c r="T16" s="12">
        <v>0.11899999999999999</v>
      </c>
      <c r="U16" s="10">
        <v>0.5</v>
      </c>
      <c r="V16" s="34">
        <f t="shared" si="0"/>
        <v>2764.4742000000001</v>
      </c>
      <c r="W16" s="30">
        <f t="shared" si="1"/>
        <v>1410</v>
      </c>
      <c r="X16" s="34">
        <f t="shared" si="2"/>
        <v>1354.4742000000001</v>
      </c>
    </row>
    <row r="17" spans="1:24" s="13" customFormat="1" x14ac:dyDescent="0.3">
      <c r="A17" s="13" t="s">
        <v>16</v>
      </c>
      <c r="B17" s="20" t="s">
        <v>14</v>
      </c>
      <c r="C17" s="20" t="s">
        <v>2</v>
      </c>
      <c r="D17" s="20" t="s">
        <v>3</v>
      </c>
      <c r="E17" s="22">
        <v>45415</v>
      </c>
      <c r="F17" s="20">
        <v>18</v>
      </c>
      <c r="G17" s="20"/>
      <c r="H17" s="25">
        <v>0.49509999999999998</v>
      </c>
      <c r="I17" s="25">
        <v>0.48870000000000002</v>
      </c>
      <c r="J17" s="25">
        <v>1.4E-2</v>
      </c>
      <c r="K17" s="25">
        <v>2.0999999999999999E-3</v>
      </c>
      <c r="L17" s="25">
        <v>1E-4</v>
      </c>
      <c r="M17" s="20"/>
      <c r="N17" s="20"/>
      <c r="O17" s="67">
        <v>2838</v>
      </c>
      <c r="P17" s="12">
        <v>0.10299999999999999</v>
      </c>
      <c r="Q17" s="12">
        <v>0.32700000000000001</v>
      </c>
      <c r="R17" s="9">
        <v>0.89668000000000003</v>
      </c>
      <c r="S17" s="41">
        <f t="shared" si="3"/>
        <v>0.87244444444444436</v>
      </c>
      <c r="T17" s="12">
        <v>0.29199999999999998</v>
      </c>
      <c r="U17" s="10">
        <v>0.19</v>
      </c>
      <c r="V17" s="34">
        <f t="shared" si="0"/>
        <v>2544.7778400000002</v>
      </c>
      <c r="W17" s="30">
        <f t="shared" si="1"/>
        <v>2298.7800000000002</v>
      </c>
      <c r="X17" s="34">
        <f t="shared" si="2"/>
        <v>2005.5578399999999</v>
      </c>
    </row>
    <row r="18" spans="1:24" s="13" customFormat="1" x14ac:dyDescent="0.3">
      <c r="A18" s="13" t="s">
        <v>16</v>
      </c>
      <c r="B18" s="20" t="s">
        <v>14</v>
      </c>
      <c r="C18" s="20" t="s">
        <v>2</v>
      </c>
      <c r="D18" s="20" t="s">
        <v>3</v>
      </c>
      <c r="E18" s="22">
        <v>45415</v>
      </c>
      <c r="F18" s="20">
        <v>18</v>
      </c>
      <c r="G18" s="20"/>
      <c r="H18" s="25">
        <v>0.63919999999999999</v>
      </c>
      <c r="I18" s="25">
        <v>0.35420000000000001</v>
      </c>
      <c r="J18" s="25">
        <v>6.4999999999999997E-3</v>
      </c>
      <c r="K18" s="25">
        <v>1E-4</v>
      </c>
      <c r="L18" s="25">
        <v>0</v>
      </c>
      <c r="M18" s="20"/>
      <c r="N18" s="20"/>
      <c r="O18" s="67">
        <v>2856</v>
      </c>
      <c r="P18" s="12">
        <v>2.9000000000000001E-2</v>
      </c>
      <c r="Q18" s="12">
        <v>6.0999999999999999E-2</v>
      </c>
      <c r="R18" s="9">
        <v>0.97119999999999995</v>
      </c>
      <c r="S18" s="41">
        <f t="shared" si="3"/>
        <v>0.9423999999999999</v>
      </c>
      <c r="T18" s="12">
        <v>5.1999999999999998E-2</v>
      </c>
      <c r="U18" s="10">
        <v>0.5</v>
      </c>
      <c r="V18" s="34">
        <f t="shared" si="0"/>
        <v>2773.7471999999998</v>
      </c>
      <c r="W18" s="30">
        <f t="shared" si="1"/>
        <v>1428</v>
      </c>
      <c r="X18" s="34">
        <f t="shared" si="2"/>
        <v>1345.7471999999998</v>
      </c>
    </row>
    <row r="19" spans="1:24" s="13" customFormat="1" x14ac:dyDescent="0.3">
      <c r="A19" s="13" t="s">
        <v>16</v>
      </c>
      <c r="B19" s="20" t="s">
        <v>14</v>
      </c>
      <c r="C19" s="20" t="s">
        <v>2</v>
      </c>
      <c r="D19" s="20" t="s">
        <v>3</v>
      </c>
      <c r="E19" s="22">
        <v>45415</v>
      </c>
      <c r="F19" s="20">
        <v>18</v>
      </c>
      <c r="G19" s="20"/>
      <c r="H19" s="25">
        <v>0.23910000000000001</v>
      </c>
      <c r="I19" s="25">
        <v>0.52249999999999996</v>
      </c>
      <c r="J19" s="25">
        <v>0.21970000000000001</v>
      </c>
      <c r="K19" s="25">
        <v>5.1000000000000004E-3</v>
      </c>
      <c r="L19" s="25">
        <v>1.37E-2</v>
      </c>
      <c r="M19" s="20"/>
      <c r="N19" s="20"/>
      <c r="O19" s="67">
        <v>2838</v>
      </c>
      <c r="P19" s="12">
        <v>0.12</v>
      </c>
      <c r="Q19" s="12">
        <v>0.40799999999999997</v>
      </c>
      <c r="R19" s="9">
        <v>0.87994000000000006</v>
      </c>
      <c r="S19" s="41">
        <f t="shared" si="3"/>
        <v>0.87994000000000006</v>
      </c>
      <c r="T19" s="12">
        <v>0.35499999999999998</v>
      </c>
      <c r="U19" s="10">
        <v>0</v>
      </c>
      <c r="V19" s="34">
        <f t="shared" si="0"/>
        <v>2497.2697200000002</v>
      </c>
      <c r="W19" s="30">
        <f t="shared" si="1"/>
        <v>2838</v>
      </c>
      <c r="X19" s="34">
        <f t="shared" si="2"/>
        <v>2497.2697200000002</v>
      </c>
    </row>
    <row r="20" spans="1:24" s="13" customFormat="1" x14ac:dyDescent="0.3">
      <c r="A20" s="13" t="s">
        <v>16</v>
      </c>
      <c r="B20" s="20" t="s">
        <v>14</v>
      </c>
      <c r="C20" s="20"/>
      <c r="D20" s="20" t="s">
        <v>3</v>
      </c>
      <c r="E20" s="22">
        <v>45415</v>
      </c>
      <c r="F20" s="20">
        <v>30</v>
      </c>
      <c r="G20" s="20"/>
      <c r="H20" s="25">
        <v>0.63180000000000003</v>
      </c>
      <c r="I20" s="25">
        <v>0.36820000000000003</v>
      </c>
      <c r="J20" s="20"/>
      <c r="K20" s="20"/>
      <c r="L20" s="20"/>
      <c r="M20" s="20"/>
      <c r="N20" s="20"/>
      <c r="O20" s="67">
        <v>5868</v>
      </c>
      <c r="P20" s="12">
        <v>1.9E-2</v>
      </c>
      <c r="Q20" s="12">
        <v>0.06</v>
      </c>
      <c r="R20" s="9">
        <v>0.98146</v>
      </c>
      <c r="S20" s="41">
        <f t="shared" si="3"/>
        <v>0.96292</v>
      </c>
      <c r="T20" s="12">
        <v>7.3999999999999996E-2</v>
      </c>
      <c r="U20" s="10">
        <v>0.5</v>
      </c>
      <c r="V20" s="34">
        <f t="shared" si="0"/>
        <v>5759.2072799999996</v>
      </c>
      <c r="W20" s="30">
        <f t="shared" si="1"/>
        <v>2934</v>
      </c>
      <c r="X20" s="34">
        <f t="shared" si="2"/>
        <v>2825.2072800000001</v>
      </c>
    </row>
    <row r="21" spans="1:24" s="13" customFormat="1" x14ac:dyDescent="0.3">
      <c r="A21" s="13" t="s">
        <v>16</v>
      </c>
      <c r="B21" s="20" t="s">
        <v>14</v>
      </c>
      <c r="C21" s="20"/>
      <c r="D21" s="20" t="s">
        <v>3</v>
      </c>
      <c r="E21" s="22">
        <v>45415</v>
      </c>
      <c r="F21" s="20">
        <v>36</v>
      </c>
      <c r="G21" s="20"/>
      <c r="H21" s="25">
        <v>0.12809999999999999</v>
      </c>
      <c r="I21" s="25">
        <v>0.59250000000000003</v>
      </c>
      <c r="J21" s="25">
        <v>0.25359999999999999</v>
      </c>
      <c r="K21" s="25">
        <v>1.11E-2</v>
      </c>
      <c r="L21" s="25">
        <v>1.47E-2</v>
      </c>
      <c r="M21" s="25">
        <v>1E-4</v>
      </c>
      <c r="N21" s="20"/>
      <c r="O21" s="67">
        <v>6162</v>
      </c>
      <c r="P21" s="12">
        <v>0.19400000000000001</v>
      </c>
      <c r="Q21" s="12">
        <v>0.48599999999999999</v>
      </c>
      <c r="R21" s="9">
        <v>0.80640000000000001</v>
      </c>
      <c r="S21" s="41">
        <f t="shared" si="3"/>
        <v>0.78956521739130436</v>
      </c>
      <c r="T21" s="12">
        <v>3.4000000000000002E-2</v>
      </c>
      <c r="U21" s="10">
        <v>0.08</v>
      </c>
      <c r="V21" s="34">
        <f t="shared" si="0"/>
        <v>4969.0367999999999</v>
      </c>
      <c r="W21" s="30">
        <f t="shared" si="1"/>
        <v>5669.04</v>
      </c>
      <c r="X21" s="34">
        <f t="shared" si="2"/>
        <v>4476.0767999999998</v>
      </c>
    </row>
    <row r="22" spans="1:24" s="13" customFormat="1" x14ac:dyDescent="0.3">
      <c r="A22" s="13" t="s">
        <v>16</v>
      </c>
      <c r="B22" s="20" t="s">
        <v>1</v>
      </c>
      <c r="C22" s="20" t="s">
        <v>2</v>
      </c>
      <c r="D22" s="20" t="s">
        <v>3</v>
      </c>
      <c r="E22" s="22">
        <v>45415</v>
      </c>
      <c r="F22" s="20">
        <v>30</v>
      </c>
      <c r="G22" s="20"/>
      <c r="H22" s="25">
        <v>0.1135</v>
      </c>
      <c r="I22" s="25">
        <v>0.50129999999999997</v>
      </c>
      <c r="J22" s="25">
        <v>0.36349999999999999</v>
      </c>
      <c r="K22" s="25">
        <v>8.2000000000000007E-3</v>
      </c>
      <c r="L22" s="25">
        <v>1.35E-2</v>
      </c>
      <c r="M22" s="20"/>
      <c r="N22" s="20"/>
      <c r="O22" s="67">
        <v>5868</v>
      </c>
      <c r="P22" s="12">
        <v>0.252</v>
      </c>
      <c r="Q22" s="12">
        <v>0.48199999999999998</v>
      </c>
      <c r="R22" s="9">
        <v>0.74824000000000002</v>
      </c>
      <c r="S22" s="41">
        <f t="shared" si="3"/>
        <v>0.74824000000000002</v>
      </c>
      <c r="T22" s="12">
        <v>0.111</v>
      </c>
      <c r="U22" s="10">
        <v>0</v>
      </c>
      <c r="V22" s="34">
        <f t="shared" si="0"/>
        <v>4390.6723199999997</v>
      </c>
      <c r="W22" s="30">
        <f t="shared" si="1"/>
        <v>5868</v>
      </c>
      <c r="X22" s="34">
        <f t="shared" si="2"/>
        <v>4390.6723199999997</v>
      </c>
    </row>
    <row r="23" spans="1:24" s="13" customFormat="1" x14ac:dyDescent="0.3">
      <c r="A23" s="13" t="s">
        <v>16</v>
      </c>
      <c r="B23" s="20" t="s">
        <v>1</v>
      </c>
      <c r="C23" s="20" t="s">
        <v>135</v>
      </c>
      <c r="D23" s="20" t="s">
        <v>17</v>
      </c>
      <c r="E23" s="22">
        <v>45416</v>
      </c>
      <c r="F23" s="20">
        <v>36</v>
      </c>
      <c r="G23" s="20"/>
      <c r="H23" s="25">
        <v>7.9100000000000004E-2</v>
      </c>
      <c r="I23" s="25">
        <v>0.26</v>
      </c>
      <c r="J23" s="25">
        <v>0.49659999999999999</v>
      </c>
      <c r="K23" s="25">
        <v>0.11650000000000001</v>
      </c>
      <c r="L23" s="25">
        <v>3.5799999999999998E-2</v>
      </c>
      <c r="M23" s="25">
        <v>8.6E-3</v>
      </c>
      <c r="N23" s="25">
        <v>3.3E-3</v>
      </c>
      <c r="O23" s="67">
        <v>5352</v>
      </c>
      <c r="P23" s="12">
        <v>0.19600000000000001</v>
      </c>
      <c r="Q23" s="12">
        <v>0.89600000000000002</v>
      </c>
      <c r="R23" s="9">
        <v>0.80408000000000002</v>
      </c>
      <c r="S23" s="41">
        <f t="shared" si="3"/>
        <v>0.80408000000000002</v>
      </c>
      <c r="T23" s="12">
        <v>1.0389999999999999</v>
      </c>
      <c r="U23" s="10">
        <v>0</v>
      </c>
      <c r="V23" s="34">
        <f t="shared" si="0"/>
        <v>4303.4361600000002</v>
      </c>
      <c r="W23" s="30">
        <f t="shared" si="1"/>
        <v>5352</v>
      </c>
      <c r="X23" s="34">
        <f t="shared" si="2"/>
        <v>4303.4361600000002</v>
      </c>
    </row>
    <row r="24" spans="1:24" s="13" customFormat="1" x14ac:dyDescent="0.3">
      <c r="A24" s="13" t="s">
        <v>16</v>
      </c>
      <c r="B24" s="20" t="s">
        <v>14</v>
      </c>
      <c r="C24" s="20"/>
      <c r="D24" s="20" t="s">
        <v>3</v>
      </c>
      <c r="E24" s="22">
        <v>45416</v>
      </c>
      <c r="F24" s="20">
        <v>36</v>
      </c>
      <c r="G24" s="20"/>
      <c r="H24" s="25">
        <v>0.62129999999999996</v>
      </c>
      <c r="I24" s="25">
        <v>0.32029999999999997</v>
      </c>
      <c r="J24" s="25">
        <v>5.8500000000000003E-2</v>
      </c>
      <c r="K24" s="20"/>
      <c r="L24" s="20"/>
      <c r="M24" s="20"/>
      <c r="N24" s="20"/>
      <c r="O24" s="67">
        <v>5292</v>
      </c>
      <c r="P24" s="12">
        <v>6.8000000000000005E-2</v>
      </c>
      <c r="Q24" s="12">
        <v>0.13400000000000001</v>
      </c>
      <c r="R24" s="9">
        <v>0.93179000000000001</v>
      </c>
      <c r="S24" s="41">
        <f t="shared" si="3"/>
        <v>0.86358000000000001</v>
      </c>
      <c r="T24" s="12">
        <v>9.6000000000000002E-2</v>
      </c>
      <c r="U24" s="10">
        <v>0.5</v>
      </c>
      <c r="V24" s="34">
        <f t="shared" si="0"/>
        <v>4931.0326800000003</v>
      </c>
      <c r="W24" s="30">
        <f t="shared" si="1"/>
        <v>2646</v>
      </c>
      <c r="X24" s="34">
        <f t="shared" si="2"/>
        <v>2285.0326800000003</v>
      </c>
    </row>
    <row r="25" spans="1:24" s="13" customFormat="1" x14ac:dyDescent="0.3">
      <c r="A25" s="13" t="s">
        <v>16</v>
      </c>
      <c r="B25" s="20" t="s">
        <v>14</v>
      </c>
      <c r="C25" s="20"/>
      <c r="D25" s="20" t="s">
        <v>3</v>
      </c>
      <c r="E25" s="22">
        <v>45416</v>
      </c>
      <c r="F25" s="20">
        <v>36</v>
      </c>
      <c r="G25" s="20"/>
      <c r="H25" s="25">
        <v>0.1724</v>
      </c>
      <c r="I25" s="25">
        <v>0.67249999999999999</v>
      </c>
      <c r="J25" s="25">
        <v>0.1179</v>
      </c>
      <c r="K25" s="25">
        <v>2.8899999999999999E-2</v>
      </c>
      <c r="L25" s="25">
        <v>6.7000000000000002E-3</v>
      </c>
      <c r="M25" s="25">
        <v>8.9999999999999998E-4</v>
      </c>
      <c r="N25" s="25">
        <v>8.9999999999999998E-4</v>
      </c>
      <c r="O25" s="67">
        <v>5412</v>
      </c>
      <c r="P25" s="12">
        <v>0.16500000000000001</v>
      </c>
      <c r="Q25" s="12">
        <v>0.495</v>
      </c>
      <c r="R25" s="9">
        <v>0.83543999999999996</v>
      </c>
      <c r="S25" s="41">
        <f t="shared" si="3"/>
        <v>0.83543999999999996</v>
      </c>
      <c r="T25" s="12">
        <v>0.53600000000000003</v>
      </c>
      <c r="U25" s="10">
        <v>0</v>
      </c>
      <c r="V25" s="34">
        <f t="shared" si="0"/>
        <v>4521.40128</v>
      </c>
      <c r="W25" s="30">
        <f t="shared" si="1"/>
        <v>5412</v>
      </c>
      <c r="X25" s="34">
        <f t="shared" si="2"/>
        <v>4521.40128</v>
      </c>
    </row>
    <row r="26" spans="1:24" s="13" customFormat="1" x14ac:dyDescent="0.3">
      <c r="A26" s="13" t="s">
        <v>16</v>
      </c>
      <c r="B26" s="20" t="s">
        <v>14</v>
      </c>
      <c r="C26" s="20"/>
      <c r="D26" s="20" t="s">
        <v>3</v>
      </c>
      <c r="E26" s="22">
        <v>45416</v>
      </c>
      <c r="F26" s="20">
        <v>36</v>
      </c>
      <c r="G26" s="20"/>
      <c r="H26" s="25">
        <v>0.66669999999999996</v>
      </c>
      <c r="I26" s="25">
        <v>0.33300000000000002</v>
      </c>
      <c r="J26" s="25">
        <v>2.9999999999999997E-4</v>
      </c>
      <c r="K26" s="20"/>
      <c r="L26" s="20"/>
      <c r="M26" s="20"/>
      <c r="N26" s="20"/>
      <c r="O26" s="67">
        <v>5454</v>
      </c>
      <c r="P26" s="12">
        <v>8.9999999999999993E-3</v>
      </c>
      <c r="Q26" s="12">
        <v>1.2E-2</v>
      </c>
      <c r="R26" s="9">
        <v>0.99058000000000002</v>
      </c>
      <c r="S26" s="41">
        <f t="shared" si="3"/>
        <v>0.98116000000000003</v>
      </c>
      <c r="T26" s="12">
        <v>5.5E-2</v>
      </c>
      <c r="U26" s="10">
        <v>0.5</v>
      </c>
      <c r="V26" s="34">
        <f t="shared" si="0"/>
        <v>5402.6233199999997</v>
      </c>
      <c r="W26" s="30">
        <f t="shared" si="1"/>
        <v>2727</v>
      </c>
      <c r="X26" s="34">
        <f t="shared" si="2"/>
        <v>2675.6233200000001</v>
      </c>
    </row>
    <row r="27" spans="1:24" s="13" customFormat="1" x14ac:dyDescent="0.3">
      <c r="A27" s="13" t="s">
        <v>16</v>
      </c>
      <c r="B27" s="20" t="s">
        <v>14</v>
      </c>
      <c r="C27" s="20"/>
      <c r="D27" s="20" t="s">
        <v>3</v>
      </c>
      <c r="E27" s="22">
        <v>45416</v>
      </c>
      <c r="F27" s="20">
        <v>36</v>
      </c>
      <c r="G27" s="20"/>
      <c r="H27" s="25">
        <v>0.15310000000000001</v>
      </c>
      <c r="I27" s="25">
        <v>0.56330000000000002</v>
      </c>
      <c r="J27" s="25">
        <v>0.26090000000000002</v>
      </c>
      <c r="K27" s="25">
        <v>5.4999999999999997E-3</v>
      </c>
      <c r="L27" s="25">
        <v>1.7000000000000001E-2</v>
      </c>
      <c r="M27" s="25">
        <v>2.9999999999999997E-4</v>
      </c>
      <c r="N27" s="20"/>
      <c r="O27" s="67">
        <v>5292</v>
      </c>
      <c r="P27" s="12">
        <v>9.5000000000000001E-2</v>
      </c>
      <c r="Q27" s="12">
        <v>0.39400000000000002</v>
      </c>
      <c r="R27" s="9">
        <v>0.90495999999999999</v>
      </c>
      <c r="S27" s="41">
        <f t="shared" si="3"/>
        <v>0.90495999999999999</v>
      </c>
      <c r="T27" s="12">
        <v>0.46500000000000002</v>
      </c>
      <c r="U27" s="10">
        <v>0</v>
      </c>
      <c r="V27" s="34">
        <f t="shared" si="0"/>
        <v>4789.0483199999999</v>
      </c>
      <c r="W27" s="30">
        <f t="shared" si="1"/>
        <v>5292</v>
      </c>
      <c r="X27" s="34">
        <f t="shared" si="2"/>
        <v>4789.0483199999999</v>
      </c>
    </row>
    <row r="28" spans="1:24" s="13" customFormat="1" x14ac:dyDescent="0.3">
      <c r="A28" s="13" t="s">
        <v>16</v>
      </c>
      <c r="B28" s="20" t="s">
        <v>14</v>
      </c>
      <c r="C28" s="20"/>
      <c r="D28" s="20" t="s">
        <v>3</v>
      </c>
      <c r="E28" s="22">
        <v>45416</v>
      </c>
      <c r="F28" s="20">
        <v>90</v>
      </c>
      <c r="G28" s="20"/>
      <c r="H28" s="25">
        <v>0.62529999999999997</v>
      </c>
      <c r="I28" s="25">
        <v>0.3478</v>
      </c>
      <c r="J28" s="25">
        <v>2.6800000000000001E-2</v>
      </c>
      <c r="K28" s="20"/>
      <c r="L28" s="20"/>
      <c r="M28" s="20"/>
      <c r="N28" s="20"/>
      <c r="O28" s="67">
        <v>11796</v>
      </c>
      <c r="P28" s="12">
        <v>8.6999999999999994E-2</v>
      </c>
      <c r="Q28" s="12">
        <v>0.183</v>
      </c>
      <c r="R28" s="9">
        <v>0.91268000000000005</v>
      </c>
      <c r="S28" s="41">
        <f t="shared" si="3"/>
        <v>0.82536000000000009</v>
      </c>
      <c r="T28" s="12">
        <v>7.2999999999999995E-2</v>
      </c>
      <c r="U28" s="10">
        <v>0.5</v>
      </c>
      <c r="V28" s="34">
        <f t="shared" si="0"/>
        <v>10765.97328</v>
      </c>
      <c r="W28" s="30">
        <f t="shared" si="1"/>
        <v>5898</v>
      </c>
      <c r="X28" s="34">
        <f t="shared" si="2"/>
        <v>4867.9732800000002</v>
      </c>
    </row>
    <row r="29" spans="1:24" s="13" customFormat="1" x14ac:dyDescent="0.3">
      <c r="A29" s="13" t="s">
        <v>16</v>
      </c>
      <c r="B29" s="20" t="s">
        <v>14</v>
      </c>
      <c r="C29" s="20" t="s">
        <v>135</v>
      </c>
      <c r="D29" s="20" t="s">
        <v>3</v>
      </c>
      <c r="E29" s="22">
        <v>45417</v>
      </c>
      <c r="F29" s="20">
        <v>12</v>
      </c>
      <c r="G29" s="20"/>
      <c r="H29" s="25">
        <v>0.63419999999999999</v>
      </c>
      <c r="I29" s="25">
        <v>0.3584</v>
      </c>
      <c r="J29" s="25">
        <v>6.7000000000000002E-3</v>
      </c>
      <c r="K29" s="25">
        <v>2.9999999999999997E-4</v>
      </c>
      <c r="L29" s="25">
        <v>4.0000000000000002E-4</v>
      </c>
      <c r="M29" s="20"/>
      <c r="N29" s="20"/>
      <c r="O29" s="67">
        <v>564</v>
      </c>
      <c r="P29" s="12">
        <v>2.7E-2</v>
      </c>
      <c r="Q29" s="12">
        <v>3.6999999999999998E-2</v>
      </c>
      <c r="R29" s="9">
        <v>0.97316000000000003</v>
      </c>
      <c r="S29" s="41">
        <f t="shared" si="3"/>
        <v>0.9360952380952382</v>
      </c>
      <c r="T29" s="12">
        <v>1.7999999999999999E-2</v>
      </c>
      <c r="U29" s="10">
        <v>0.57999999999999996</v>
      </c>
      <c r="V29" s="34">
        <f t="shared" si="0"/>
        <v>548.86224000000004</v>
      </c>
      <c r="W29" s="30">
        <f t="shared" si="1"/>
        <v>236.88000000000002</v>
      </c>
      <c r="X29" s="34">
        <f t="shared" si="2"/>
        <v>221.74224000000004</v>
      </c>
    </row>
    <row r="30" spans="1:24" s="13" customFormat="1" x14ac:dyDescent="0.3">
      <c r="A30" s="13" t="s">
        <v>16</v>
      </c>
      <c r="B30" s="20" t="s">
        <v>14</v>
      </c>
      <c r="C30" s="20" t="s">
        <v>135</v>
      </c>
      <c r="D30" s="20" t="s">
        <v>3</v>
      </c>
      <c r="E30" s="22">
        <v>45417</v>
      </c>
      <c r="F30" s="20">
        <v>12</v>
      </c>
      <c r="G30" s="20"/>
      <c r="H30" s="25">
        <v>0.63419999999999999</v>
      </c>
      <c r="I30" s="25">
        <v>0.3584</v>
      </c>
      <c r="J30" s="25">
        <v>6.7000000000000002E-3</v>
      </c>
      <c r="K30" s="25">
        <v>2.9999999999999997E-4</v>
      </c>
      <c r="L30" s="25">
        <v>4.0000000000000002E-4</v>
      </c>
      <c r="M30" s="20"/>
      <c r="N30" s="20"/>
      <c r="O30" s="67">
        <v>564</v>
      </c>
      <c r="P30" s="12">
        <v>2.4E-2</v>
      </c>
      <c r="Q30" s="12">
        <v>4.2999999999999997E-2</v>
      </c>
      <c r="R30" s="9">
        <v>0.97619</v>
      </c>
      <c r="S30" s="41">
        <f t="shared" si="3"/>
        <v>0.95238</v>
      </c>
      <c r="T30" s="12">
        <v>3.6999999999999998E-2</v>
      </c>
      <c r="U30" s="10">
        <v>0.5</v>
      </c>
      <c r="V30" s="34">
        <f t="shared" si="0"/>
        <v>550.57115999999996</v>
      </c>
      <c r="W30" s="30">
        <f t="shared" si="1"/>
        <v>282</v>
      </c>
      <c r="X30" s="34">
        <f t="shared" si="2"/>
        <v>268.57116000000002</v>
      </c>
    </row>
    <row r="31" spans="1:24" s="13" customFormat="1" x14ac:dyDescent="0.3">
      <c r="A31" s="13" t="s">
        <v>16</v>
      </c>
      <c r="B31" s="20" t="s">
        <v>14</v>
      </c>
      <c r="C31" s="20" t="s">
        <v>135</v>
      </c>
      <c r="D31" s="20" t="s">
        <v>3</v>
      </c>
      <c r="E31" s="22">
        <v>45417</v>
      </c>
      <c r="F31" s="20">
        <v>12</v>
      </c>
      <c r="G31" s="20"/>
      <c r="H31" s="25">
        <v>0.63419999999999999</v>
      </c>
      <c r="I31" s="25">
        <v>0.3584</v>
      </c>
      <c r="J31" s="25">
        <v>6.7000000000000002E-3</v>
      </c>
      <c r="K31" s="25">
        <v>2.9999999999999997E-4</v>
      </c>
      <c r="L31" s="25">
        <v>4.0000000000000002E-4</v>
      </c>
      <c r="M31" s="20"/>
      <c r="N31" s="20"/>
      <c r="O31" s="67">
        <v>564</v>
      </c>
      <c r="P31" s="12">
        <v>0.03</v>
      </c>
      <c r="Q31" s="12">
        <v>3.1E-2</v>
      </c>
      <c r="R31" s="9">
        <v>0.97028000000000003</v>
      </c>
      <c r="S31" s="41">
        <f t="shared" si="3"/>
        <v>0.90993939393939405</v>
      </c>
      <c r="T31" s="12">
        <v>0</v>
      </c>
      <c r="U31" s="10">
        <v>0.67</v>
      </c>
      <c r="V31" s="34">
        <f t="shared" si="0"/>
        <v>547.23792000000003</v>
      </c>
      <c r="W31" s="30">
        <f t="shared" si="1"/>
        <v>186.11999999999998</v>
      </c>
      <c r="X31" s="34">
        <f t="shared" si="2"/>
        <v>169.35792000000001</v>
      </c>
    </row>
    <row r="32" spans="1:24" s="13" customFormat="1" x14ac:dyDescent="0.3">
      <c r="A32" s="13" t="s">
        <v>16</v>
      </c>
      <c r="B32" s="20" t="s">
        <v>14</v>
      </c>
      <c r="C32" s="20" t="s">
        <v>135</v>
      </c>
      <c r="D32" s="20" t="s">
        <v>3</v>
      </c>
      <c r="E32" s="22">
        <v>45417</v>
      </c>
      <c r="F32" s="20">
        <v>12</v>
      </c>
      <c r="G32" s="20"/>
      <c r="H32" s="25">
        <v>0.41670000000000001</v>
      </c>
      <c r="I32" s="25">
        <v>0.42599999999999999</v>
      </c>
      <c r="J32" s="25">
        <v>0.14779999999999999</v>
      </c>
      <c r="K32" s="25">
        <v>2.0999999999999999E-3</v>
      </c>
      <c r="L32" s="25">
        <v>7.4000000000000003E-3</v>
      </c>
      <c r="M32" s="20"/>
      <c r="N32" s="20"/>
      <c r="O32" s="67">
        <v>558</v>
      </c>
      <c r="P32" s="12">
        <v>0.28000000000000003</v>
      </c>
      <c r="Q32" s="12">
        <v>0.55400000000000005</v>
      </c>
      <c r="R32" s="9">
        <v>0.71963999999999995</v>
      </c>
      <c r="S32" s="41">
        <f t="shared" si="3"/>
        <v>0.69526086956521738</v>
      </c>
      <c r="T32" s="12">
        <v>0.03</v>
      </c>
      <c r="U32" s="10">
        <v>0.08</v>
      </c>
      <c r="V32" s="34">
        <f t="shared" si="0"/>
        <v>401.55911999999995</v>
      </c>
      <c r="W32" s="30">
        <f t="shared" si="1"/>
        <v>513.36</v>
      </c>
      <c r="X32" s="34">
        <f t="shared" si="2"/>
        <v>356.91912000000002</v>
      </c>
    </row>
    <row r="33" spans="1:28" s="13" customFormat="1" x14ac:dyDescent="0.3">
      <c r="A33" s="20" t="s">
        <v>0</v>
      </c>
      <c r="B33" s="20" t="s">
        <v>1</v>
      </c>
      <c r="C33" s="20"/>
      <c r="D33" s="20" t="s">
        <v>3</v>
      </c>
      <c r="E33" s="22">
        <v>45418</v>
      </c>
      <c r="F33" s="20">
        <v>18</v>
      </c>
      <c r="G33" s="20"/>
      <c r="H33" s="25">
        <v>9.5799999999999996E-2</v>
      </c>
      <c r="I33" s="25">
        <v>0.53129999999999999</v>
      </c>
      <c r="J33" s="25">
        <v>0.34810000000000002</v>
      </c>
      <c r="K33" s="25">
        <v>9.9000000000000008E-3</v>
      </c>
      <c r="L33" s="25">
        <v>1.49E-2</v>
      </c>
      <c r="M33" s="20"/>
      <c r="N33" s="20"/>
      <c r="O33" s="68">
        <v>2976</v>
      </c>
      <c r="P33" s="12" t="s">
        <v>23</v>
      </c>
      <c r="Q33" s="12" t="s">
        <v>24</v>
      </c>
      <c r="R33" s="9">
        <v>0.63014999999999999</v>
      </c>
      <c r="S33" s="41">
        <f t="shared" si="3"/>
        <v>0.63014999999999999</v>
      </c>
      <c r="T33" s="12">
        <v>5.1999999999999998E-2</v>
      </c>
      <c r="U33" s="10">
        <v>0</v>
      </c>
      <c r="V33" s="34">
        <f t="shared" si="0"/>
        <v>1875.3263999999999</v>
      </c>
      <c r="W33" s="30">
        <f t="shared" si="1"/>
        <v>2976</v>
      </c>
      <c r="X33" s="34">
        <f t="shared" si="2"/>
        <v>1875.3263999999999</v>
      </c>
    </row>
    <row r="34" spans="1:28" s="13" customFormat="1" x14ac:dyDescent="0.3">
      <c r="A34" s="13" t="s">
        <v>0</v>
      </c>
      <c r="B34" s="13" t="s">
        <v>14</v>
      </c>
      <c r="D34" s="13" t="s">
        <v>3</v>
      </c>
      <c r="E34" s="21">
        <v>45418</v>
      </c>
      <c r="F34" s="13">
        <v>18</v>
      </c>
      <c r="H34" s="26">
        <v>0.63449999999999995</v>
      </c>
      <c r="I34" s="26">
        <v>0.36549999999999999</v>
      </c>
      <c r="M34" s="23"/>
      <c r="O34" s="69">
        <v>3048</v>
      </c>
      <c r="P34" s="11" t="s">
        <v>25</v>
      </c>
      <c r="Q34" s="11" t="s">
        <v>26</v>
      </c>
      <c r="R34" s="16">
        <v>0.97185999999999995</v>
      </c>
      <c r="S34" s="41">
        <f t="shared" si="3"/>
        <v>0.93427531034482747</v>
      </c>
      <c r="T34" s="11">
        <v>2.4E-2</v>
      </c>
      <c r="U34" s="8">
        <v>0.57185039370078738</v>
      </c>
      <c r="V34" s="34">
        <f t="shared" si="0"/>
        <v>2962.22928</v>
      </c>
      <c r="W34" s="30">
        <f t="shared" si="1"/>
        <v>1305</v>
      </c>
      <c r="X34" s="34">
        <f t="shared" si="2"/>
        <v>1219.2292799999998</v>
      </c>
    </row>
    <row r="35" spans="1:28" s="13" customFormat="1" x14ac:dyDescent="0.3">
      <c r="A35" s="20" t="s">
        <v>0</v>
      </c>
      <c r="B35" s="20" t="s">
        <v>14</v>
      </c>
      <c r="C35" s="20"/>
      <c r="D35" s="20" t="s">
        <v>3</v>
      </c>
      <c r="E35" s="22">
        <v>45418</v>
      </c>
      <c r="F35" s="20">
        <v>18</v>
      </c>
      <c r="G35" s="20"/>
      <c r="H35" s="25">
        <v>0.1074</v>
      </c>
      <c r="I35" s="25">
        <v>0.53149999999999997</v>
      </c>
      <c r="J35" s="25">
        <v>0.33629999999999999</v>
      </c>
      <c r="K35" s="25">
        <v>9.7999999999999997E-3</v>
      </c>
      <c r="L35" s="25">
        <v>1.4999999999999999E-2</v>
      </c>
      <c r="M35" s="20"/>
      <c r="N35" s="2"/>
      <c r="O35" s="68">
        <v>3048</v>
      </c>
      <c r="P35" s="12" t="s">
        <v>27</v>
      </c>
      <c r="Q35" s="12" t="s">
        <v>28</v>
      </c>
      <c r="R35" s="9">
        <v>0.65405999999999997</v>
      </c>
      <c r="S35" s="41">
        <f t="shared" si="3"/>
        <v>0.65405999999999997</v>
      </c>
      <c r="T35" s="12">
        <v>3.4000000000000002E-2</v>
      </c>
      <c r="U35" s="10">
        <v>0</v>
      </c>
      <c r="V35" s="34">
        <f t="shared" si="0"/>
        <v>1993.5748799999999</v>
      </c>
      <c r="W35" s="30">
        <f t="shared" si="1"/>
        <v>3048</v>
      </c>
      <c r="X35" s="34">
        <f t="shared" si="2"/>
        <v>1993.5748799999999</v>
      </c>
    </row>
    <row r="36" spans="1:28" x14ac:dyDescent="0.3">
      <c r="A36" s="13" t="s">
        <v>0</v>
      </c>
      <c r="B36" s="13" t="s">
        <v>14</v>
      </c>
      <c r="C36" s="13"/>
      <c r="D36" s="13" t="s">
        <v>3</v>
      </c>
      <c r="E36" s="13">
        <v>45419</v>
      </c>
      <c r="F36" s="13">
        <v>24</v>
      </c>
      <c r="G36" s="13"/>
      <c r="H36" s="26">
        <v>0.6169</v>
      </c>
      <c r="I36" s="26">
        <v>0.32879999999999998</v>
      </c>
      <c r="J36" s="26">
        <v>5.4300000000000001E-2</v>
      </c>
      <c r="K36" s="13"/>
      <c r="L36" s="13"/>
      <c r="M36" s="23"/>
      <c r="N36" s="11"/>
      <c r="O36" s="69">
        <v>3540</v>
      </c>
      <c r="P36" s="11" t="s">
        <v>31</v>
      </c>
      <c r="Q36" s="11" t="s">
        <v>32</v>
      </c>
      <c r="R36" s="16">
        <v>0.93630999999999998</v>
      </c>
      <c r="S36" s="41">
        <f t="shared" si="3"/>
        <v>0.87261999999999995</v>
      </c>
      <c r="T36" s="11">
        <v>0.109</v>
      </c>
      <c r="U36" s="11">
        <v>0.5</v>
      </c>
      <c r="V36" s="34">
        <f t="shared" si="0"/>
        <v>3314.5373999999997</v>
      </c>
      <c r="W36" s="30">
        <f t="shared" si="1"/>
        <v>1770</v>
      </c>
      <c r="X36" s="34">
        <f t="shared" si="2"/>
        <v>1544.5373999999999</v>
      </c>
      <c r="Y36" s="13"/>
      <c r="Z36" s="13"/>
      <c r="AA36" s="13"/>
      <c r="AB36" s="13"/>
    </row>
    <row r="37" spans="1:28" x14ac:dyDescent="0.3">
      <c r="A37" s="13" t="s">
        <v>0</v>
      </c>
      <c r="B37" s="13" t="s">
        <v>1</v>
      </c>
      <c r="C37" s="13"/>
      <c r="D37" s="13" t="s">
        <v>3</v>
      </c>
      <c r="E37" s="13">
        <v>45419</v>
      </c>
      <c r="F37" s="13">
        <v>24</v>
      </c>
      <c r="G37" s="13"/>
      <c r="H37" s="26">
        <v>6.5699999999999995E-2</v>
      </c>
      <c r="I37" s="26">
        <v>0.2631</v>
      </c>
      <c r="J37" s="26">
        <v>0.48609999999999998</v>
      </c>
      <c r="K37" s="26">
        <v>0.1278</v>
      </c>
      <c r="L37" s="26">
        <v>4.4400000000000002E-2</v>
      </c>
      <c r="M37" s="27">
        <v>9.5999999999999992E-3</v>
      </c>
      <c r="N37" s="28">
        <v>3.2000000000000002E-3</v>
      </c>
      <c r="O37" s="69">
        <v>3570</v>
      </c>
      <c r="P37" s="11" t="s">
        <v>29</v>
      </c>
      <c r="Q37" s="11" t="s">
        <v>30</v>
      </c>
      <c r="R37" s="16">
        <v>0.79474999999999996</v>
      </c>
      <c r="S37" s="41">
        <f t="shared" si="3"/>
        <v>0.79474999999999996</v>
      </c>
      <c r="T37" s="11">
        <v>1.081</v>
      </c>
      <c r="U37" s="11">
        <v>0</v>
      </c>
      <c r="V37" s="34">
        <f t="shared" si="0"/>
        <v>2837.2574999999997</v>
      </c>
      <c r="W37" s="30">
        <f t="shared" si="1"/>
        <v>3570</v>
      </c>
      <c r="X37" s="34">
        <f t="shared" si="2"/>
        <v>2837.2574999999997</v>
      </c>
      <c r="Y37" s="13"/>
      <c r="Z37" s="13"/>
      <c r="AA37" s="13"/>
      <c r="AB37" s="13"/>
    </row>
    <row r="38" spans="1:28" x14ac:dyDescent="0.3">
      <c r="A38" s="13" t="s">
        <v>0</v>
      </c>
      <c r="B38" s="13" t="s">
        <v>14</v>
      </c>
      <c r="C38" s="13"/>
      <c r="D38" s="13" t="s">
        <v>3</v>
      </c>
      <c r="E38" s="13">
        <v>45419</v>
      </c>
      <c r="F38" s="13">
        <v>24</v>
      </c>
      <c r="G38" s="13"/>
      <c r="H38" s="26">
        <v>8.4099999999999994E-2</v>
      </c>
      <c r="I38" s="26">
        <v>0.3251</v>
      </c>
      <c r="J38" s="26">
        <v>0.43380000000000002</v>
      </c>
      <c r="K38" s="26">
        <v>0.1114</v>
      </c>
      <c r="L38" s="26">
        <v>3.6200000000000003E-2</v>
      </c>
      <c r="M38" s="27">
        <v>6.1999999999999998E-3</v>
      </c>
      <c r="N38" s="28">
        <v>3.2000000000000002E-3</v>
      </c>
      <c r="O38" s="69">
        <v>3540</v>
      </c>
      <c r="P38" s="11" t="s">
        <v>33</v>
      </c>
      <c r="Q38" s="11" t="s">
        <v>34</v>
      </c>
      <c r="R38" s="16">
        <v>0.80379</v>
      </c>
      <c r="S38" s="41">
        <f t="shared" si="3"/>
        <v>0.80379</v>
      </c>
      <c r="T38" s="11">
        <v>1.0740000000000001</v>
      </c>
      <c r="U38" s="11">
        <v>0</v>
      </c>
      <c r="V38" s="34">
        <f t="shared" si="0"/>
        <v>2845.4166</v>
      </c>
      <c r="W38" s="30">
        <f t="shared" si="1"/>
        <v>3540</v>
      </c>
      <c r="X38" s="34">
        <f t="shared" si="2"/>
        <v>2845.4166</v>
      </c>
      <c r="Y38" s="13"/>
      <c r="Z38" s="13"/>
      <c r="AA38" s="13"/>
      <c r="AB38" s="13"/>
    </row>
    <row r="39" spans="1:28" s="13" customFormat="1" x14ac:dyDescent="0.3">
      <c r="A39" s="20" t="s">
        <v>0</v>
      </c>
      <c r="B39" s="20" t="s">
        <v>1</v>
      </c>
      <c r="C39" s="20" t="s">
        <v>15</v>
      </c>
      <c r="D39" s="20" t="s">
        <v>3</v>
      </c>
      <c r="E39" s="22">
        <v>45420</v>
      </c>
      <c r="F39" s="20">
        <v>24</v>
      </c>
      <c r="G39" s="20"/>
      <c r="H39" s="20" t="s">
        <v>49</v>
      </c>
      <c r="I39" s="20" t="s">
        <v>50</v>
      </c>
      <c r="J39" s="20" t="s">
        <v>51</v>
      </c>
      <c r="K39" s="20" t="s">
        <v>52</v>
      </c>
      <c r="L39" s="20" t="s">
        <v>53</v>
      </c>
      <c r="M39" s="20" t="s">
        <v>54</v>
      </c>
      <c r="N39" s="20" t="s">
        <v>55</v>
      </c>
      <c r="O39" s="68">
        <v>2418</v>
      </c>
      <c r="P39" s="2" t="s">
        <v>56</v>
      </c>
      <c r="Q39" s="2" t="s">
        <v>57</v>
      </c>
      <c r="R39" s="37">
        <v>0.75600000000000001</v>
      </c>
      <c r="S39" s="41">
        <f t="shared" si="3"/>
        <v>0.75600000000000001</v>
      </c>
      <c r="T39" s="12">
        <v>0.318</v>
      </c>
      <c r="U39" s="38">
        <v>0</v>
      </c>
      <c r="V39" s="34">
        <f t="shared" si="0"/>
        <v>1828.008</v>
      </c>
      <c r="W39" s="30">
        <f t="shared" si="1"/>
        <v>2418</v>
      </c>
      <c r="X39" s="34">
        <f t="shared" si="2"/>
        <v>1828.008</v>
      </c>
      <c r="Y39" s="20"/>
      <c r="Z39" s="20"/>
    </row>
    <row r="40" spans="1:28" s="13" customFormat="1" x14ac:dyDescent="0.3">
      <c r="A40" s="20" t="s">
        <v>0</v>
      </c>
      <c r="B40" s="20" t="s">
        <v>14</v>
      </c>
      <c r="C40" s="20" t="s">
        <v>15</v>
      </c>
      <c r="D40" s="20" t="s">
        <v>3</v>
      </c>
      <c r="E40" s="22">
        <v>45420</v>
      </c>
      <c r="F40" s="20">
        <v>18</v>
      </c>
      <c r="G40" s="20"/>
      <c r="H40" s="20" t="s">
        <v>58</v>
      </c>
      <c r="I40" s="20" t="s">
        <v>59</v>
      </c>
      <c r="J40" s="20" t="s">
        <v>60</v>
      </c>
      <c r="K40" s="20" t="s">
        <v>61</v>
      </c>
      <c r="L40" s="20" t="s">
        <v>62</v>
      </c>
      <c r="M40" s="20" t="s">
        <v>63</v>
      </c>
      <c r="N40" s="20" t="s">
        <v>64</v>
      </c>
      <c r="O40" s="68">
        <v>2388</v>
      </c>
      <c r="P40" s="2" t="s">
        <v>56</v>
      </c>
      <c r="Q40" s="2" t="s">
        <v>65</v>
      </c>
      <c r="R40" s="37">
        <v>0.77310000000000001</v>
      </c>
      <c r="S40" s="41">
        <v>0.54620000000000002</v>
      </c>
      <c r="T40" s="12">
        <v>3.7999999999999999E-2</v>
      </c>
      <c r="U40" s="38">
        <v>0.5</v>
      </c>
      <c r="V40" s="34">
        <f t="shared" si="0"/>
        <v>1846.1628000000001</v>
      </c>
      <c r="W40" s="30">
        <f t="shared" si="1"/>
        <v>1194</v>
      </c>
      <c r="X40" s="34">
        <f t="shared" si="2"/>
        <v>652.16280000000006</v>
      </c>
      <c r="Y40" s="20"/>
      <c r="Z40" s="20"/>
    </row>
    <row r="41" spans="1:28" s="13" customFormat="1" x14ac:dyDescent="0.3">
      <c r="A41" s="20" t="s">
        <v>0</v>
      </c>
      <c r="B41" s="20" t="s">
        <v>14</v>
      </c>
      <c r="C41" s="20" t="s">
        <v>15</v>
      </c>
      <c r="D41" s="20" t="s">
        <v>3</v>
      </c>
      <c r="E41" s="22">
        <v>45420</v>
      </c>
      <c r="F41" s="20">
        <v>24</v>
      </c>
      <c r="G41" s="20"/>
      <c r="H41" s="20" t="s">
        <v>66</v>
      </c>
      <c r="I41" s="20" t="s">
        <v>67</v>
      </c>
      <c r="J41" s="20" t="s">
        <v>68</v>
      </c>
      <c r="K41" s="20" t="s">
        <v>69</v>
      </c>
      <c r="L41" s="20" t="s">
        <v>70</v>
      </c>
      <c r="M41" s="20" t="s">
        <v>71</v>
      </c>
      <c r="N41" s="20" t="s">
        <v>72</v>
      </c>
      <c r="O41" s="68">
        <v>2466</v>
      </c>
      <c r="P41" s="2" t="s">
        <v>56</v>
      </c>
      <c r="Q41" s="2" t="s">
        <v>73</v>
      </c>
      <c r="R41" s="37">
        <v>0.75800000000000001</v>
      </c>
      <c r="S41" s="41">
        <f t="shared" si="3"/>
        <v>0.75800000000000001</v>
      </c>
      <c r="T41" s="12">
        <v>0.317</v>
      </c>
      <c r="U41" s="38">
        <v>0</v>
      </c>
      <c r="V41" s="34">
        <f t="shared" si="0"/>
        <v>1869.2280000000001</v>
      </c>
      <c r="W41" s="30">
        <f t="shared" si="1"/>
        <v>2466</v>
      </c>
      <c r="X41" s="34">
        <f t="shared" si="2"/>
        <v>1869.2280000000001</v>
      </c>
      <c r="Y41" s="20"/>
      <c r="Z41" s="20"/>
    </row>
    <row r="42" spans="1:28" s="66" customFormat="1" x14ac:dyDescent="0.3">
      <c r="A42" s="20" t="s">
        <v>0</v>
      </c>
      <c r="B42" s="20" t="s">
        <v>1</v>
      </c>
      <c r="C42" s="20" t="s">
        <v>15</v>
      </c>
      <c r="D42" s="20" t="s">
        <v>3</v>
      </c>
      <c r="E42" s="22">
        <v>45420</v>
      </c>
      <c r="F42" s="20">
        <v>36</v>
      </c>
      <c r="G42" s="20"/>
      <c r="H42" s="20" t="s">
        <v>76</v>
      </c>
      <c r="I42" s="20" t="s">
        <v>77</v>
      </c>
      <c r="J42" s="20" t="s">
        <v>78</v>
      </c>
      <c r="K42" s="20" t="s">
        <v>79</v>
      </c>
      <c r="L42" s="20" t="s">
        <v>80</v>
      </c>
      <c r="M42" s="20" t="s">
        <v>72</v>
      </c>
      <c r="N42" s="20" t="s">
        <v>81</v>
      </c>
      <c r="O42" s="68">
        <v>5376</v>
      </c>
      <c r="P42" s="75">
        <v>0</v>
      </c>
      <c r="Q42" s="72">
        <v>0.80300000000000005</v>
      </c>
      <c r="R42" s="73">
        <v>0.84736</v>
      </c>
      <c r="S42" s="74">
        <v>0.84736</v>
      </c>
      <c r="T42" s="12">
        <v>1.002</v>
      </c>
      <c r="U42" s="12">
        <v>0</v>
      </c>
      <c r="V42" s="34">
        <f t="shared" si="0"/>
        <v>4555.4073600000002</v>
      </c>
      <c r="W42" s="30">
        <f t="shared" si="1"/>
        <v>5376</v>
      </c>
      <c r="X42" s="34">
        <f t="shared" si="2"/>
        <v>4555.4073600000002</v>
      </c>
    </row>
    <row r="43" spans="1:28" s="66" customFormat="1" x14ac:dyDescent="0.3">
      <c r="A43" s="20" t="s">
        <v>0</v>
      </c>
      <c r="B43" s="20" t="s">
        <v>14</v>
      </c>
      <c r="C43" s="20" t="s">
        <v>15</v>
      </c>
      <c r="D43" s="20" t="s">
        <v>3</v>
      </c>
      <c r="E43" s="22">
        <v>45420</v>
      </c>
      <c r="F43" s="20">
        <v>36</v>
      </c>
      <c r="G43" s="20"/>
      <c r="H43" s="20" t="s">
        <v>82</v>
      </c>
      <c r="I43" s="20" t="s">
        <v>83</v>
      </c>
      <c r="J43" s="20" t="s">
        <v>84</v>
      </c>
      <c r="K43" s="20"/>
      <c r="L43" s="20"/>
      <c r="M43" s="20"/>
      <c r="N43" s="20"/>
      <c r="O43" s="68">
        <v>5328</v>
      </c>
      <c r="P43" s="75">
        <v>0</v>
      </c>
      <c r="Q43" s="72">
        <v>0.13</v>
      </c>
      <c r="R43" s="73">
        <v>0.94579000000000002</v>
      </c>
      <c r="S43" s="74">
        <v>0.89158000000000004</v>
      </c>
      <c r="T43" s="12">
        <v>0.109</v>
      </c>
      <c r="U43" s="12">
        <v>0.5</v>
      </c>
      <c r="V43" s="34">
        <f t="shared" si="0"/>
        <v>5039.1691200000005</v>
      </c>
      <c r="W43" s="30">
        <f t="shared" si="1"/>
        <v>2664</v>
      </c>
      <c r="X43" s="34">
        <f t="shared" si="2"/>
        <v>2375.16912</v>
      </c>
    </row>
    <row r="44" spans="1:28" s="66" customFormat="1" x14ac:dyDescent="0.3">
      <c r="A44" s="20" t="s">
        <v>0</v>
      </c>
      <c r="B44" s="20" t="s">
        <v>14</v>
      </c>
      <c r="C44" s="20" t="s">
        <v>15</v>
      </c>
      <c r="D44" s="20" t="s">
        <v>3</v>
      </c>
      <c r="E44" s="22">
        <v>45420</v>
      </c>
      <c r="F44" s="20">
        <v>36</v>
      </c>
      <c r="G44" s="20"/>
      <c r="H44" s="20" t="s">
        <v>85</v>
      </c>
      <c r="I44" s="20" t="s">
        <v>86</v>
      </c>
      <c r="J44" s="20" t="s">
        <v>87</v>
      </c>
      <c r="K44" s="20" t="s">
        <v>88</v>
      </c>
      <c r="L44" s="20" t="s">
        <v>89</v>
      </c>
      <c r="M44" s="20" t="s">
        <v>90</v>
      </c>
      <c r="N44" s="20" t="s">
        <v>91</v>
      </c>
      <c r="O44" s="68">
        <v>4848</v>
      </c>
      <c r="P44" s="75">
        <v>0</v>
      </c>
      <c r="Q44" s="72">
        <v>0.76200000000000001</v>
      </c>
      <c r="R44" s="73">
        <v>0.84035000000000004</v>
      </c>
      <c r="S44" s="74">
        <v>0.84035000000000004</v>
      </c>
      <c r="T44" s="12">
        <v>0.99099999999999999</v>
      </c>
      <c r="U44" s="12">
        <v>0</v>
      </c>
      <c r="V44" s="34">
        <f t="shared" si="0"/>
        <v>4074.0168000000003</v>
      </c>
      <c r="W44" s="30">
        <f t="shared" si="1"/>
        <v>4848</v>
      </c>
      <c r="X44" s="34">
        <f t="shared" si="2"/>
        <v>4074.0168000000003</v>
      </c>
    </row>
    <row r="45" spans="1:28" s="66" customFormat="1" x14ac:dyDescent="0.3">
      <c r="A45" s="20" t="s">
        <v>0</v>
      </c>
      <c r="B45" s="20" t="s">
        <v>1</v>
      </c>
      <c r="C45" s="20" t="s">
        <v>135</v>
      </c>
      <c r="D45" s="20" t="s">
        <v>3</v>
      </c>
      <c r="E45" s="22">
        <v>45420</v>
      </c>
      <c r="F45" s="20">
        <v>18</v>
      </c>
      <c r="G45" s="20"/>
      <c r="H45" s="25">
        <v>0.1046</v>
      </c>
      <c r="I45" s="25">
        <v>0.56489999999999996</v>
      </c>
      <c r="J45" s="25">
        <v>0.30669999999999997</v>
      </c>
      <c r="K45" s="25">
        <v>0.01</v>
      </c>
      <c r="L45" s="25">
        <v>1.38E-2</v>
      </c>
      <c r="M45" s="2"/>
      <c r="N45" s="2"/>
      <c r="O45" s="72">
        <v>2460</v>
      </c>
      <c r="P45" s="72">
        <v>0</v>
      </c>
      <c r="Q45" s="72">
        <v>0.52600000000000002</v>
      </c>
      <c r="R45" s="76">
        <v>0.77973000000000003</v>
      </c>
      <c r="S45" s="74">
        <v>0.77973000000000003</v>
      </c>
      <c r="T45" s="12">
        <v>0.20899999999999999</v>
      </c>
      <c r="U45" s="12">
        <v>0</v>
      </c>
      <c r="V45" s="34">
        <f t="shared" si="0"/>
        <v>1918.1358</v>
      </c>
      <c r="W45" s="30">
        <f t="shared" si="1"/>
        <v>2460</v>
      </c>
      <c r="X45" s="34">
        <f t="shared" si="2"/>
        <v>1918.1358</v>
      </c>
      <c r="Y45"/>
      <c r="Z45"/>
      <c r="AA45"/>
      <c r="AB45"/>
    </row>
    <row r="46" spans="1:28" s="66" customFormat="1" x14ac:dyDescent="0.3">
      <c r="A46" s="20" t="s">
        <v>0</v>
      </c>
      <c r="B46" s="20" t="s">
        <v>14</v>
      </c>
      <c r="C46" s="20" t="s">
        <v>135</v>
      </c>
      <c r="D46" s="20" t="s">
        <v>3</v>
      </c>
      <c r="E46" s="22">
        <v>45420</v>
      </c>
      <c r="F46" s="20">
        <v>18</v>
      </c>
      <c r="G46" s="20"/>
      <c r="H46" s="25">
        <v>0.56869999999999998</v>
      </c>
      <c r="I46" s="25">
        <v>0.38329999999999997</v>
      </c>
      <c r="J46" s="25">
        <v>4.5100000000000001E-2</v>
      </c>
      <c r="K46" s="25">
        <v>1.2999999999999999E-3</v>
      </c>
      <c r="L46" s="25">
        <v>1.6000000000000001E-3</v>
      </c>
      <c r="M46" s="2"/>
      <c r="N46" s="2"/>
      <c r="O46" s="72">
        <v>2466</v>
      </c>
      <c r="P46" s="72">
        <v>0</v>
      </c>
      <c r="Q46" s="72">
        <v>0.14499999999999999</v>
      </c>
      <c r="R46" s="76">
        <v>0.89427999999999996</v>
      </c>
      <c r="S46" s="74">
        <v>0.89854999999999996</v>
      </c>
      <c r="T46" s="12">
        <v>5.8999999999999997E-2</v>
      </c>
      <c r="U46" s="12">
        <v>0.5</v>
      </c>
      <c r="V46" s="34">
        <f t="shared" si="0"/>
        <v>2205.29448</v>
      </c>
      <c r="W46" s="30">
        <f t="shared" si="1"/>
        <v>1233</v>
      </c>
      <c r="X46" s="34">
        <f t="shared" si="2"/>
        <v>1107.9121499999999</v>
      </c>
      <c r="Y46"/>
      <c r="Z46"/>
      <c r="AA46"/>
      <c r="AB46"/>
    </row>
    <row r="47" spans="1:28" s="66" customFormat="1" x14ac:dyDescent="0.3">
      <c r="A47" s="20" t="s">
        <v>0</v>
      </c>
      <c r="B47" s="20" t="s">
        <v>14</v>
      </c>
      <c r="C47" s="20" t="s">
        <v>135</v>
      </c>
      <c r="D47" s="20" t="s">
        <v>3</v>
      </c>
      <c r="E47" s="22">
        <v>45420</v>
      </c>
      <c r="F47" s="20">
        <v>18</v>
      </c>
      <c r="G47" s="20"/>
      <c r="H47" s="25">
        <v>0.25600000000000001</v>
      </c>
      <c r="I47" s="25">
        <v>0.5302</v>
      </c>
      <c r="J47" s="25">
        <v>0.19689999999999999</v>
      </c>
      <c r="K47" s="25">
        <v>6.1999999999999998E-3</v>
      </c>
      <c r="L47" s="25">
        <v>1.06E-2</v>
      </c>
      <c r="M47" s="2"/>
      <c r="N47" s="2"/>
      <c r="O47" s="72">
        <v>2406</v>
      </c>
      <c r="P47" s="72">
        <v>0</v>
      </c>
      <c r="Q47" s="72">
        <v>0.61399999999999999</v>
      </c>
      <c r="R47" s="76">
        <v>0.75314000000000003</v>
      </c>
      <c r="S47" s="74">
        <v>0.75314000000000003</v>
      </c>
      <c r="T47" s="12">
        <v>0.16700000000000001</v>
      </c>
      <c r="U47" s="12">
        <v>0</v>
      </c>
      <c r="V47" s="34">
        <f t="shared" si="0"/>
        <v>1812.05484</v>
      </c>
      <c r="W47" s="30">
        <f t="shared" si="1"/>
        <v>2406</v>
      </c>
      <c r="X47" s="34">
        <f t="shared" si="2"/>
        <v>1812.05484</v>
      </c>
      <c r="Y47"/>
      <c r="Z47"/>
      <c r="AA47"/>
      <c r="AB47"/>
    </row>
    <row r="48" spans="1:28" s="77" customFormat="1" x14ac:dyDescent="0.3">
      <c r="A48" s="20" t="s">
        <v>16</v>
      </c>
      <c r="B48" s="20" t="s">
        <v>14</v>
      </c>
      <c r="C48" s="20" t="s">
        <v>135</v>
      </c>
      <c r="D48" s="20" t="s">
        <v>3</v>
      </c>
      <c r="E48" s="22">
        <v>45425</v>
      </c>
      <c r="F48" s="20">
        <v>24</v>
      </c>
      <c r="G48" s="115" t="s">
        <v>105</v>
      </c>
      <c r="H48" s="25">
        <v>0.58730000000000004</v>
      </c>
      <c r="I48" s="25">
        <v>0.36259999999999998</v>
      </c>
      <c r="J48" s="25">
        <v>4.2900000000000001E-2</v>
      </c>
      <c r="K48" s="25">
        <v>4.8999999999999998E-3</v>
      </c>
      <c r="L48" s="25">
        <v>1.6999999999999999E-3</v>
      </c>
      <c r="M48" s="25">
        <v>2.9999999999999997E-4</v>
      </c>
      <c r="N48" s="25">
        <v>4.0000000000000002E-4</v>
      </c>
      <c r="O48" s="72">
        <v>3258</v>
      </c>
      <c r="P48" s="72">
        <v>0</v>
      </c>
      <c r="Q48" s="72">
        <v>0.17699999999999999</v>
      </c>
      <c r="R48" s="76">
        <v>0.90032999999999996</v>
      </c>
      <c r="S48" s="78">
        <v>0.92186999999999997</v>
      </c>
      <c r="T48" s="72">
        <v>9.8000000000000004E-2</v>
      </c>
      <c r="U48" s="72">
        <v>0.5</v>
      </c>
      <c r="V48" s="34">
        <f t="shared" si="0"/>
        <v>2933.2751399999997</v>
      </c>
      <c r="W48" s="30">
        <f t="shared" si="1"/>
        <v>1629</v>
      </c>
      <c r="X48" s="34">
        <f t="shared" si="2"/>
        <v>1501.72623</v>
      </c>
      <c r="Y48"/>
      <c r="Z48"/>
      <c r="AA48"/>
      <c r="AB48"/>
    </row>
    <row r="49" spans="1:28" s="77" customFormat="1" x14ac:dyDescent="0.3">
      <c r="A49" s="20" t="s">
        <v>16</v>
      </c>
      <c r="B49" s="20" t="s">
        <v>14</v>
      </c>
      <c r="C49" s="20" t="s">
        <v>135</v>
      </c>
      <c r="D49" s="20" t="s">
        <v>3</v>
      </c>
      <c r="E49" s="22">
        <v>45425</v>
      </c>
      <c r="F49" s="20">
        <v>24</v>
      </c>
      <c r="G49" s="115" t="s">
        <v>105</v>
      </c>
      <c r="H49" s="25">
        <v>0.33810000000000001</v>
      </c>
      <c r="I49" s="25">
        <v>0.55059999999999998</v>
      </c>
      <c r="J49" s="25">
        <v>9.8500000000000004E-2</v>
      </c>
      <c r="K49" s="25">
        <v>7.9000000000000008E-3</v>
      </c>
      <c r="L49" s="25">
        <v>4.1999999999999997E-3</v>
      </c>
      <c r="M49" s="25">
        <v>4.0000000000000002E-4</v>
      </c>
      <c r="N49" s="25">
        <v>4.0000000000000002E-4</v>
      </c>
      <c r="O49" s="72">
        <v>3264</v>
      </c>
      <c r="P49" s="72">
        <v>0</v>
      </c>
      <c r="Q49" s="72">
        <v>0.67900000000000005</v>
      </c>
      <c r="R49" s="76">
        <v>0.67376000000000003</v>
      </c>
      <c r="S49" s="78">
        <v>0.67376000000000003</v>
      </c>
      <c r="T49" s="72">
        <v>0.246</v>
      </c>
      <c r="U49" s="72">
        <v>0</v>
      </c>
      <c r="V49" s="34">
        <f t="shared" si="0"/>
        <v>2199.1526400000002</v>
      </c>
      <c r="W49" s="30">
        <f t="shared" si="1"/>
        <v>3264</v>
      </c>
      <c r="X49" s="34">
        <f t="shared" si="2"/>
        <v>2199.1526400000002</v>
      </c>
      <c r="Y49"/>
      <c r="Z49"/>
      <c r="AA49"/>
      <c r="AB49"/>
    </row>
    <row r="50" spans="1:28" s="77" customFormat="1" ht="13.8" customHeight="1" x14ac:dyDescent="0.3">
      <c r="A50" s="20" t="s">
        <v>16</v>
      </c>
      <c r="B50" s="20" t="s">
        <v>14</v>
      </c>
      <c r="C50" s="20" t="s">
        <v>135</v>
      </c>
      <c r="D50" s="20" t="s">
        <v>3</v>
      </c>
      <c r="E50" s="22">
        <v>45425</v>
      </c>
      <c r="F50" s="20">
        <v>24</v>
      </c>
      <c r="G50" s="115" t="s">
        <v>105</v>
      </c>
      <c r="H50" s="25">
        <v>0.58760000000000001</v>
      </c>
      <c r="I50" s="25">
        <v>0.3624</v>
      </c>
      <c r="J50" s="25">
        <v>4.2799999999999998E-2</v>
      </c>
      <c r="K50" s="25">
        <v>4.8999999999999998E-3</v>
      </c>
      <c r="L50" s="25">
        <v>1.6999999999999999E-3</v>
      </c>
      <c r="M50" s="25">
        <v>2.9999999999999997E-4</v>
      </c>
      <c r="N50" s="25">
        <v>2.9999999999999997E-4</v>
      </c>
      <c r="O50" s="72">
        <v>3318</v>
      </c>
      <c r="P50" s="72">
        <v>0</v>
      </c>
      <c r="Q50" s="72">
        <v>0.14199999999999999</v>
      </c>
      <c r="R50" s="76">
        <v>0.89071999999999996</v>
      </c>
      <c r="S50" s="78">
        <v>0.90861000000000003</v>
      </c>
      <c r="T50" s="72">
        <v>4.3999999999999997E-2</v>
      </c>
      <c r="U50" s="72">
        <v>0.54900000000000004</v>
      </c>
      <c r="V50" s="34">
        <f t="shared" si="0"/>
        <v>2955.4089599999998</v>
      </c>
      <c r="W50" s="30">
        <f t="shared" si="1"/>
        <v>1496.4179999999999</v>
      </c>
      <c r="X50" s="34">
        <f t="shared" si="2"/>
        <v>1359.66035898</v>
      </c>
      <c r="Y50"/>
      <c r="Z50"/>
      <c r="AA50"/>
      <c r="AB50"/>
    </row>
    <row r="51" spans="1:28" s="77" customFormat="1" x14ac:dyDescent="0.3">
      <c r="A51" s="20" t="s">
        <v>16</v>
      </c>
      <c r="B51" s="20" t="s">
        <v>14</v>
      </c>
      <c r="C51" s="20" t="s">
        <v>135</v>
      </c>
      <c r="D51" s="20" t="s">
        <v>3</v>
      </c>
      <c r="E51" s="22">
        <v>45425</v>
      </c>
      <c r="F51" s="20">
        <v>24</v>
      </c>
      <c r="G51" s="115" t="s">
        <v>105</v>
      </c>
      <c r="H51" s="25">
        <v>0.33760000000000001</v>
      </c>
      <c r="I51" s="25">
        <v>0.5081</v>
      </c>
      <c r="J51" s="25">
        <v>0.13980000000000001</v>
      </c>
      <c r="K51" s="25">
        <v>7.3000000000000001E-3</v>
      </c>
      <c r="L51" s="25">
        <v>6.4999999999999997E-3</v>
      </c>
      <c r="M51" s="25">
        <v>2.9999999999999997E-4</v>
      </c>
      <c r="N51" s="25">
        <v>2.9999999999999997E-4</v>
      </c>
      <c r="O51" s="72">
        <v>3252</v>
      </c>
      <c r="P51" s="72">
        <v>0</v>
      </c>
      <c r="Q51" s="72">
        <v>0.86899999999999999</v>
      </c>
      <c r="R51" s="76">
        <v>0.64427000000000001</v>
      </c>
      <c r="S51" s="78">
        <v>0.64427000000000001</v>
      </c>
      <c r="T51" s="72">
        <v>0.36099999999999999</v>
      </c>
      <c r="U51" s="72">
        <v>0</v>
      </c>
      <c r="V51" s="34">
        <f t="shared" si="0"/>
        <v>2095.1660400000001</v>
      </c>
      <c r="W51" s="30">
        <f t="shared" si="1"/>
        <v>3252</v>
      </c>
      <c r="X51" s="34">
        <f t="shared" si="2"/>
        <v>2095.1660400000001</v>
      </c>
      <c r="Y51"/>
      <c r="Z51"/>
      <c r="AA51"/>
      <c r="AB51"/>
    </row>
    <row r="52" spans="1:28" s="77" customFormat="1" ht="13.8" customHeight="1" x14ac:dyDescent="0.3">
      <c r="A52" s="20" t="s">
        <v>16</v>
      </c>
      <c r="B52" s="20" t="s">
        <v>1</v>
      </c>
      <c r="C52" s="20" t="s">
        <v>135</v>
      </c>
      <c r="D52" s="20" t="s">
        <v>3</v>
      </c>
      <c r="E52" s="22">
        <v>45425</v>
      </c>
      <c r="F52" s="20">
        <v>24</v>
      </c>
      <c r="G52" s="115" t="s">
        <v>105</v>
      </c>
      <c r="H52" s="25">
        <v>7.9799999999999996E-2</v>
      </c>
      <c r="I52" s="25">
        <v>0.33400000000000002</v>
      </c>
      <c r="J52" s="25">
        <v>0.45929999999999999</v>
      </c>
      <c r="K52" s="25">
        <v>6.6600000000000006E-2</v>
      </c>
      <c r="L52" s="25">
        <v>4.1799999999999997E-2</v>
      </c>
      <c r="M52" s="25">
        <v>1.0800000000000001E-2</v>
      </c>
      <c r="N52" s="25">
        <v>7.6E-3</v>
      </c>
      <c r="O52" s="72">
        <v>3420</v>
      </c>
      <c r="P52" s="72">
        <v>0</v>
      </c>
      <c r="Q52" s="72">
        <v>0.747</v>
      </c>
      <c r="R52" s="76">
        <v>0.70343999999999995</v>
      </c>
      <c r="S52" s="78">
        <v>0.70343999999999995</v>
      </c>
      <c r="T52" s="72">
        <v>0.63900000000000001</v>
      </c>
      <c r="U52" s="72">
        <v>0</v>
      </c>
      <c r="V52" s="34">
        <f t="shared" si="0"/>
        <v>2405.7647999999999</v>
      </c>
      <c r="W52" s="30">
        <f t="shared" si="1"/>
        <v>3420</v>
      </c>
      <c r="X52" s="34">
        <f t="shared" si="2"/>
        <v>2405.7647999999999</v>
      </c>
      <c r="Y52"/>
      <c r="Z52"/>
      <c r="AA52"/>
      <c r="AB52"/>
    </row>
    <row r="55" spans="1:28" s="1" customFormat="1" x14ac:dyDescent="0.3">
      <c r="I55" s="55" t="s">
        <v>39</v>
      </c>
      <c r="J55" s="56"/>
      <c r="K55" s="56"/>
      <c r="L55" s="56"/>
      <c r="M55" s="56"/>
      <c r="N55" s="56"/>
      <c r="O55" s="61">
        <f>SUM(O2:O54)</f>
        <v>163816</v>
      </c>
      <c r="P55" s="57"/>
      <c r="Q55" s="57"/>
      <c r="R55" s="58">
        <f t="shared" ref="R55:R65" si="4">V55/O55</f>
        <v>0.84857261732675726</v>
      </c>
      <c r="S55" s="120">
        <f>X55/W55</f>
        <v>0.81022284298138192</v>
      </c>
      <c r="T55" s="57"/>
      <c r="U55" s="59"/>
      <c r="V55" s="60">
        <f>SUM(V2:V54)</f>
        <v>139009.77188000007</v>
      </c>
      <c r="W55" s="61">
        <f>SUM(W2:W54)</f>
        <v>127767.35799999999</v>
      </c>
      <c r="X55" s="62">
        <f>SUM(X2:X54)</f>
        <v>103520.03203898</v>
      </c>
    </row>
    <row r="56" spans="1:28" s="1" customFormat="1" x14ac:dyDescent="0.3">
      <c r="I56" s="55" t="s">
        <v>43</v>
      </c>
      <c r="J56" s="56"/>
      <c r="K56" s="56"/>
      <c r="L56" s="56"/>
      <c r="M56" s="56"/>
      <c r="N56" s="56"/>
      <c r="O56" s="61">
        <f>SUMIF(B1:B53,"CLUSTER",O1:O53)</f>
        <v>38148</v>
      </c>
      <c r="P56" s="57"/>
      <c r="Q56" s="57"/>
      <c r="R56" s="58">
        <f t="shared" si="4"/>
        <v>0.77208888801509923</v>
      </c>
      <c r="S56" s="120">
        <f t="shared" ref="S56:S65" si="5">X56/W56</f>
        <v>0.77208888801509923</v>
      </c>
      <c r="T56" s="57"/>
      <c r="U56" s="59"/>
      <c r="V56" s="60">
        <f>SUMIF(B1:B54,"CLUSTER",V1:V54)</f>
        <v>29453.646900000003</v>
      </c>
      <c r="W56" s="61">
        <f>SUMIF(B1:B54,"CLUSTER",W1:W54)</f>
        <v>38148</v>
      </c>
      <c r="X56" s="62">
        <f>SUMIF(B1:B54,"CLUSTER",X1:X54)</f>
        <v>29453.646900000003</v>
      </c>
    </row>
    <row r="57" spans="1:28" x14ac:dyDescent="0.3">
      <c r="I57" s="43" t="s">
        <v>41</v>
      </c>
      <c r="O57" s="45">
        <f>SUMIFS(O1:O53,B1:B53,"CLUSTER",C1:C53,"")</f>
        <v>6546</v>
      </c>
      <c r="R57" s="80">
        <f t="shared" si="4"/>
        <v>0.71991810265811174</v>
      </c>
      <c r="S57" s="121">
        <f t="shared" si="5"/>
        <v>0.71991810265811174</v>
      </c>
      <c r="V57" s="44">
        <f>SUMIFS(V1:V54,B1:B54,"CLUSTER", C1:C54,"")</f>
        <v>4712.5838999999996</v>
      </c>
      <c r="W57" s="45">
        <f>SUMIFS(W1:W54,B1:B54,"CLUSTER", C1:C54,"")</f>
        <v>6546</v>
      </c>
      <c r="X57" s="46">
        <f>SUMIFS(X1:X54,B1:B54,"CLUSTER", C1:C54,"")</f>
        <v>4712.5838999999996</v>
      </c>
    </row>
    <row r="58" spans="1:28" x14ac:dyDescent="0.3">
      <c r="I58" s="43" t="s">
        <v>40</v>
      </c>
      <c r="O58" s="45">
        <f>SUMIFS(O2:O54,B2:B54,"CLUSTER",C2:C54,"power_loss")</f>
        <v>11148</v>
      </c>
      <c r="R58" s="80">
        <f t="shared" si="4"/>
        <v>0.78817365984930021</v>
      </c>
      <c r="S58" s="122">
        <f t="shared" si="5"/>
        <v>0.78817365984930021</v>
      </c>
      <c r="V58" s="44">
        <f>SUMIFS(V2:V54,B2:B54,"CLUSTER", C2:C54,"power_loss")</f>
        <v>8786.5599599999987</v>
      </c>
      <c r="W58" s="31">
        <f>SUMIFS(W2:W54,B2:B54,"CLUSTER", C2:C54,"power_loss")</f>
        <v>11148</v>
      </c>
      <c r="X58" s="47">
        <f>SUMIFS(X2:X54,B2:B54,"CLUSTER", C2:C54,"power_loss")</f>
        <v>8786.5599599999987</v>
      </c>
    </row>
    <row r="59" spans="1:28" x14ac:dyDescent="0.3">
      <c r="I59" s="43" t="s">
        <v>42</v>
      </c>
      <c r="O59" s="31">
        <f>SUMIFS(O2:O54,B2:B54,"CLUSTER",C2:C54,"min_loss")</f>
        <v>9222</v>
      </c>
      <c r="R59" s="80">
        <f t="shared" si="4"/>
        <v>0.79453115159401433</v>
      </c>
      <c r="S59" s="123">
        <f t="shared" si="5"/>
        <v>0.79453115159401433</v>
      </c>
      <c r="V59" s="35">
        <f>SUMIFS(V2:V54,B2:B54,"CLUSTER", C2:C54,"min_loss")</f>
        <v>7327.1662800000004</v>
      </c>
      <c r="W59" s="31">
        <f>SUMIFS(W2:W54,B2:B54,"CLUSTER", C2:C54,"min_loss")</f>
        <v>9222</v>
      </c>
      <c r="X59" s="47">
        <f>SUMIFS(X2:X54,B2:B54,"CLUSTER", C2:C54,"min_loss")</f>
        <v>7327.1662800000004</v>
      </c>
    </row>
    <row r="60" spans="1:28" x14ac:dyDescent="0.3">
      <c r="I60" s="48" t="s">
        <v>134</v>
      </c>
      <c r="J60" s="49"/>
      <c r="K60" s="49"/>
      <c r="L60" s="49"/>
      <c r="M60" s="49"/>
      <c r="N60" s="49"/>
      <c r="O60" s="53">
        <f>SUMIFS(O2:O54,B2:B54,"CLUSTER",C2:C54,"sampling_nb")</f>
        <v>11232</v>
      </c>
      <c r="P60" s="50"/>
      <c r="Q60" s="50"/>
      <c r="R60" s="79">
        <f t="shared" si="4"/>
        <v>0.76810334401709401</v>
      </c>
      <c r="S60" s="124">
        <f t="shared" si="5"/>
        <v>0.76810334401709401</v>
      </c>
      <c r="T60" s="50"/>
      <c r="U60" s="51"/>
      <c r="V60" s="52">
        <f>SUMIFS(V2:V54,B2:B54,"CLUSTER", C2:C54,"sampling_nb")</f>
        <v>8627.3367600000001</v>
      </c>
      <c r="W60" s="53">
        <f>SUMIFS(W2:W54,B2:B54,"CLUSTER", C2:C54,"sampling_nb")</f>
        <v>11232</v>
      </c>
      <c r="X60" s="54">
        <f>SUMIFS(X2:X54,B2:B54,"CLUSTER", C2:C54,"sampling_nb")</f>
        <v>8627.3367600000001</v>
      </c>
    </row>
    <row r="61" spans="1:28" s="1" customFormat="1" x14ac:dyDescent="0.3">
      <c r="I61" s="55" t="s">
        <v>44</v>
      </c>
      <c r="J61" s="56"/>
      <c r="K61" s="56"/>
      <c r="L61" s="56"/>
      <c r="M61" s="56"/>
      <c r="N61" s="56"/>
      <c r="O61" s="64">
        <f>SUMIF(B1:B53,"NODE",O1:O53)</f>
        <v>125668</v>
      </c>
      <c r="P61" s="57"/>
      <c r="Q61" s="57"/>
      <c r="R61" s="116">
        <f t="shared" si="4"/>
        <v>0.87179015326097342</v>
      </c>
      <c r="S61" s="120">
        <f t="shared" si="5"/>
        <v>0.82645520780209103</v>
      </c>
      <c r="T61" s="57"/>
      <c r="U61" s="59"/>
      <c r="V61" s="63">
        <f>SUMIF(B1:B54,"NODE",V1:V54)</f>
        <v>109556.12498000001</v>
      </c>
      <c r="W61" s="64">
        <f>SUMIF(B1:B54,"NODE",W1:W54)</f>
        <v>89619.358000000007</v>
      </c>
      <c r="X61" s="65">
        <f>SUMIF(B1:B54,"NODE",X1:X54)</f>
        <v>74066.385138979997</v>
      </c>
    </row>
    <row r="62" spans="1:28" x14ac:dyDescent="0.3">
      <c r="I62" s="43" t="s">
        <v>45</v>
      </c>
      <c r="O62" s="31">
        <f>SUMIFS(O1:O53,B1:B53,"NODE",C1:C53,"")</f>
        <v>69594</v>
      </c>
      <c r="R62" s="80">
        <f t="shared" si="4"/>
        <v>0.88859009052504523</v>
      </c>
      <c r="S62" s="125">
        <f t="shared" si="5"/>
        <v>0.84078415780589666</v>
      </c>
      <c r="V62" s="35">
        <f>SUMIFS(V1:V54,B1:B54,"NODE", C1:C54,"")</f>
        <v>61840.538759999996</v>
      </c>
      <c r="W62" s="31">
        <f>SUMIFS(W1:W54,B1:B54,"NODE", C1:C54,"")</f>
        <v>48697.8</v>
      </c>
      <c r="X62" s="47">
        <f>SUMIFS(X1:X54,B1:B54,"NODE", C1:C54,"")</f>
        <v>40944.338759999999</v>
      </c>
    </row>
    <row r="63" spans="1:28" x14ac:dyDescent="0.3">
      <c r="I63" s="43" t="s">
        <v>46</v>
      </c>
      <c r="O63" s="31">
        <f>SUMIFS(O2:O54,B2:B54,"NODE",C2:C54,"power_loss")</f>
        <v>17554</v>
      </c>
      <c r="R63" s="80">
        <f t="shared" si="4"/>
        <v>0.89909637461547232</v>
      </c>
      <c r="S63" s="125">
        <f t="shared" si="5"/>
        <v>0.86139034868743336</v>
      </c>
      <c r="V63" s="35">
        <f>SUMIFS(V2:V54,B2:B54,"NODE", C2:C54,"power_loss")</f>
        <v>15782.737760000002</v>
      </c>
      <c r="W63" s="31">
        <f>SUMIFS(W2:W54,B2:B54,"NODE", C2:C54,"power_loss")</f>
        <v>12778.78</v>
      </c>
      <c r="X63" s="47">
        <f>SUMIFS(X2:X54,B2:B54,"NODE", C2:C54,"power_loss")</f>
        <v>11007.517760000001</v>
      </c>
    </row>
    <row r="64" spans="1:28" x14ac:dyDescent="0.3">
      <c r="I64" s="43" t="s">
        <v>47</v>
      </c>
      <c r="O64" s="31">
        <f>SUMIFS(O2:O54,B2:B54,"NODE",C2:C54,"min_loss")</f>
        <v>18306</v>
      </c>
      <c r="R64" s="80">
        <f t="shared" si="4"/>
        <v>0.85678279908226818</v>
      </c>
      <c r="S64" s="125">
        <f t="shared" si="5"/>
        <v>0.80784710642040469</v>
      </c>
      <c r="V64" s="35">
        <f>SUMIFS(V2:V54,B2:B54,"NODE", C2:C54,"min_loss")</f>
        <v>15684.265920000002</v>
      </c>
      <c r="W64" s="31">
        <f>SUMIFS(W2:W54,B2:B54,"NODE", C2:C54,"min_loss")</f>
        <v>13644</v>
      </c>
      <c r="X64" s="47">
        <f>SUMIFS(X2:X54,B2:B54,"NODE", C2:C54,"min_loss")</f>
        <v>11022.265920000002</v>
      </c>
    </row>
    <row r="65" spans="2:24" x14ac:dyDescent="0.3">
      <c r="I65" s="48" t="s">
        <v>133</v>
      </c>
      <c r="J65" s="49"/>
      <c r="K65" s="49"/>
      <c r="L65" s="49"/>
      <c r="M65" s="49"/>
      <c r="N65" s="49"/>
      <c r="O65" s="53">
        <f>SUMIFS(O2:O54,B2:B54,"NODE",C2:C54,"sampling_nb")</f>
        <v>20214</v>
      </c>
      <c r="P65" s="50"/>
      <c r="Q65" s="50"/>
      <c r="R65" s="79">
        <f t="shared" si="4"/>
        <v>0.8038281656277827</v>
      </c>
      <c r="S65" s="124">
        <f t="shared" si="5"/>
        <v>0.76504810950136626</v>
      </c>
      <c r="T65" s="50"/>
      <c r="U65" s="51"/>
      <c r="V65" s="52">
        <f>SUMIFS(V2:V54,B2:B54,"NODE", C2:C54,"sampling_nb")</f>
        <v>16248.582539999999</v>
      </c>
      <c r="W65" s="53">
        <f>SUMIFS(W2:W54,B2:B54,"NODE", C2:C54,"sampling_nb")</f>
        <v>14498.778</v>
      </c>
      <c r="X65" s="54">
        <f>SUMIFS(X2:X54,B2:B54,"NODE", C2:C54,"sampling_nb")</f>
        <v>11092.262698980001</v>
      </c>
    </row>
    <row r="67" spans="2:24" s="1" customFormat="1" x14ac:dyDescent="0.3">
      <c r="B67" s="24"/>
      <c r="O67" s="70"/>
      <c r="P67" s="5"/>
      <c r="Q67" s="5"/>
      <c r="R67" s="39"/>
      <c r="S67" s="5"/>
      <c r="T67" s="14"/>
      <c r="U67" s="7"/>
      <c r="V67" s="36"/>
      <c r="W67" s="32"/>
      <c r="X67" s="36"/>
    </row>
    <row r="68" spans="2:24" x14ac:dyDescent="0.3">
      <c r="B68" s="1"/>
      <c r="C68" s="1"/>
      <c r="R68" s="39"/>
      <c r="S68" s="14"/>
    </row>
    <row r="69" spans="2:24" x14ac:dyDescent="0.3">
      <c r="B69" s="1"/>
      <c r="C69" s="1"/>
      <c r="R69" s="39"/>
      <c r="S69" s="14"/>
    </row>
    <row r="70" spans="2:24" x14ac:dyDescent="0.3">
      <c r="R70" s="39"/>
      <c r="S70" s="14"/>
    </row>
    <row r="71" spans="2:24" x14ac:dyDescent="0.3">
      <c r="R71" s="39"/>
      <c r="S71" s="14"/>
    </row>
    <row r="72" spans="2:24" x14ac:dyDescent="0.3">
      <c r="R72" s="39"/>
      <c r="S72" s="14"/>
    </row>
    <row r="73" spans="2:24" x14ac:dyDescent="0.3">
      <c r="R73" s="39"/>
      <c r="S73" s="14"/>
    </row>
    <row r="74" spans="2:24" x14ac:dyDescent="0.3">
      <c r="B74" s="1"/>
      <c r="C74" s="1"/>
      <c r="R74" s="39"/>
      <c r="S74" s="14"/>
    </row>
    <row r="75" spans="2:24" x14ac:dyDescent="0.3">
      <c r="R75" s="39"/>
      <c r="S75" s="14"/>
    </row>
    <row r="76" spans="2:24" x14ac:dyDescent="0.3">
      <c r="R76" s="39"/>
      <c r="S76" s="14"/>
    </row>
    <row r="77" spans="2:24" x14ac:dyDescent="0.3">
      <c r="R77" s="39"/>
      <c r="S77" s="14"/>
    </row>
    <row r="78" spans="2:24" x14ac:dyDescent="0.3">
      <c r="R78" s="39"/>
      <c r="S78" s="14"/>
    </row>
  </sheetData>
  <autoFilter ref="A1:F52" xr:uid="{00000000-0001-0000-0000-000000000000}"/>
  <conditionalFormatting sqref="R57:R60">
    <cfRule type="colorScale" priority="4">
      <colorScale>
        <cfvo type="min"/>
        <cfvo type="max"/>
        <color rgb="FFFF7128"/>
        <color rgb="FF92D050"/>
      </colorScale>
    </cfRule>
  </conditionalFormatting>
  <conditionalFormatting sqref="R62:R65">
    <cfRule type="colorScale" priority="3">
      <colorScale>
        <cfvo type="min"/>
        <cfvo type="max"/>
        <color rgb="FFFF7128"/>
        <color rgb="FF92D050"/>
      </colorScale>
    </cfRule>
  </conditionalFormatting>
  <conditionalFormatting sqref="S57:S60">
    <cfRule type="colorScale" priority="2">
      <colorScale>
        <cfvo type="min"/>
        <cfvo type="max"/>
        <color rgb="FFFF7128"/>
        <color rgb="FF92D050"/>
      </colorScale>
    </cfRule>
  </conditionalFormatting>
  <conditionalFormatting sqref="S62:S65">
    <cfRule type="colorScale" priority="1">
      <colorScale>
        <cfvo type="min"/>
        <cfvo type="max"/>
        <color rgb="FFFF7128"/>
        <color rgb="FF92D050"/>
      </colorScale>
    </cfRule>
  </conditionalFormatting>
  <conditionalFormatting sqref="U1:U47">
    <cfRule type="cellIs" dxfId="10" priority="5" operator="greaterThan">
      <formula>0</formula>
    </cfRule>
  </conditionalFormatting>
  <conditionalFormatting sqref="U33">
    <cfRule type="cellIs" dxfId="9" priority="13" operator="equal">
      <formula>"yes"</formula>
    </cfRule>
  </conditionalFormatting>
  <conditionalFormatting sqref="U35">
    <cfRule type="cellIs" dxfId="8" priority="11" operator="equal">
      <formula>"yes"</formula>
    </cfRule>
  </conditionalFormatting>
  <conditionalFormatting sqref="U53:U1048576">
    <cfRule type="cellIs" dxfId="7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068A9-3B51-403A-902E-EA13A689C383}">
  <sheetPr filterMode="1"/>
  <dimension ref="A1:AH51"/>
  <sheetViews>
    <sheetView zoomScaleNormal="100" workbookViewId="0">
      <selection activeCell="F39" sqref="F39"/>
    </sheetView>
  </sheetViews>
  <sheetFormatPr defaultRowHeight="14.4" x14ac:dyDescent="0.3"/>
  <cols>
    <col min="1" max="1" width="8.77734375" bestFit="1" customWidth="1"/>
    <col min="2" max="2" width="8.44140625" bestFit="1" customWidth="1"/>
    <col min="3" max="3" width="15.21875" bestFit="1" customWidth="1"/>
    <col min="4" max="4" width="8" bestFit="1" customWidth="1"/>
    <col min="5" max="5" width="15.44140625" bestFit="1" customWidth="1"/>
    <col min="6" max="6" width="17.33203125" customWidth="1"/>
    <col min="7" max="7" width="11.6640625" bestFit="1" customWidth="1"/>
    <col min="15" max="15" width="11.77734375" style="70" customWidth="1"/>
    <col min="16" max="16" width="5.5546875" style="14" customWidth="1"/>
    <col min="17" max="17" width="5.88671875" style="14" customWidth="1"/>
    <col min="18" max="18" width="12.88671875" style="131" bestFit="1" customWidth="1"/>
    <col min="19" max="19" width="12.88671875" style="94" customWidth="1"/>
    <col min="20" max="20" width="12" style="14" customWidth="1"/>
    <col min="21" max="21" width="8.88671875" style="7"/>
    <col min="22" max="22" width="14.44140625" style="35" customWidth="1"/>
    <col min="23" max="23" width="16.5546875" style="31" customWidth="1"/>
    <col min="24" max="24" width="16.5546875" style="35" customWidth="1"/>
  </cols>
  <sheetData>
    <row r="1" spans="1:34" s="18" customFormat="1" ht="28.8" x14ac:dyDescent="0.3">
      <c r="A1" s="18" t="s">
        <v>4</v>
      </c>
      <c r="B1" s="18" t="s">
        <v>5</v>
      </c>
      <c r="C1" s="18" t="s">
        <v>18</v>
      </c>
      <c r="D1" s="19" t="s">
        <v>6</v>
      </c>
      <c r="E1" s="19" t="s">
        <v>19</v>
      </c>
      <c r="F1" s="19" t="s">
        <v>48</v>
      </c>
      <c r="G1" s="19"/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29" t="s">
        <v>96</v>
      </c>
      <c r="P1" s="19" t="s">
        <v>75</v>
      </c>
      <c r="Q1" s="19" t="s">
        <v>20</v>
      </c>
      <c r="R1" s="91" t="s">
        <v>36</v>
      </c>
      <c r="S1" s="92" t="s">
        <v>35</v>
      </c>
      <c r="T1" s="4" t="s">
        <v>21</v>
      </c>
      <c r="U1" s="6" t="s">
        <v>22</v>
      </c>
      <c r="V1" s="33" t="s">
        <v>37</v>
      </c>
      <c r="W1" s="29" t="s">
        <v>74</v>
      </c>
      <c r="X1" s="33" t="s">
        <v>38</v>
      </c>
    </row>
    <row r="2" spans="1:34" s="13" customFormat="1" x14ac:dyDescent="0.3">
      <c r="A2" s="83" t="s">
        <v>0</v>
      </c>
      <c r="B2" s="83" t="s">
        <v>14</v>
      </c>
      <c r="C2" s="83" t="s">
        <v>2</v>
      </c>
      <c r="D2" s="83" t="s">
        <v>3</v>
      </c>
      <c r="E2" s="84">
        <v>45506</v>
      </c>
      <c r="F2" s="83">
        <v>18</v>
      </c>
      <c r="G2" s="83" t="s">
        <v>104</v>
      </c>
      <c r="H2" s="112">
        <v>0.64380000000000004</v>
      </c>
      <c r="I2" s="112">
        <v>0.21010000000000001</v>
      </c>
      <c r="J2" s="112">
        <v>0.1024</v>
      </c>
      <c r="K2" s="112">
        <v>2.6599999999999999E-2</v>
      </c>
      <c r="L2" s="112">
        <v>9.9000000000000008E-3</v>
      </c>
      <c r="M2" s="112">
        <v>4.1999999999999997E-3</v>
      </c>
      <c r="N2" s="112">
        <v>3.0000000000000001E-3</v>
      </c>
      <c r="O2" s="134">
        <v>3666</v>
      </c>
      <c r="P2" s="77"/>
      <c r="Q2" s="77"/>
      <c r="R2" s="87">
        <v>0.93149999999999999</v>
      </c>
      <c r="S2" s="88">
        <v>0.86309999999999998</v>
      </c>
      <c r="T2" s="110">
        <v>3.2000000000000001E-2</v>
      </c>
      <c r="U2" s="212">
        <v>0.5</v>
      </c>
      <c r="V2" s="34">
        <f t="shared" ref="V2:V22" si="0">O2*R2</f>
        <v>3414.8789999999999</v>
      </c>
      <c r="W2" s="30">
        <f t="shared" ref="W2:W19" si="1">O2*(1-U2)</f>
        <v>1833</v>
      </c>
      <c r="X2" s="34">
        <f t="shared" ref="X2:X19" si="2">S2*W2</f>
        <v>1582.0623000000001</v>
      </c>
      <c r="Y2" s="110"/>
      <c r="Z2" s="110"/>
      <c r="AA2" s="77"/>
      <c r="AB2" s="77"/>
      <c r="AC2" s="77"/>
    </row>
    <row r="3" spans="1:34" s="13" customFormat="1" x14ac:dyDescent="0.3">
      <c r="A3" s="83" t="s">
        <v>0</v>
      </c>
      <c r="B3" s="83" t="s">
        <v>1</v>
      </c>
      <c r="C3" s="83" t="s">
        <v>2</v>
      </c>
      <c r="D3" s="83" t="s">
        <v>3</v>
      </c>
      <c r="E3" s="84">
        <v>45506</v>
      </c>
      <c r="F3" s="83">
        <v>18</v>
      </c>
      <c r="G3" s="83" t="s">
        <v>104</v>
      </c>
      <c r="H3" s="112">
        <v>0.11169999999999999</v>
      </c>
      <c r="I3" s="112">
        <v>0.30509999999999998</v>
      </c>
      <c r="J3" s="112">
        <v>0.35449999999999998</v>
      </c>
      <c r="K3" s="112">
        <v>0.17610000000000001</v>
      </c>
      <c r="L3" s="112">
        <v>2.29E-2</v>
      </c>
      <c r="M3" s="112">
        <v>1.67E-2</v>
      </c>
      <c r="N3" s="112">
        <v>1.3100000000000001E-2</v>
      </c>
      <c r="O3" s="134">
        <v>3666</v>
      </c>
      <c r="P3" s="77"/>
      <c r="Q3" s="77"/>
      <c r="R3" s="87">
        <v>0.73980000000000001</v>
      </c>
      <c r="S3" s="88">
        <v>0.73980000000000001</v>
      </c>
      <c r="T3" s="110">
        <v>0.313</v>
      </c>
      <c r="U3" s="212">
        <v>0</v>
      </c>
      <c r="V3" s="34">
        <f t="shared" si="0"/>
        <v>2712.1068</v>
      </c>
      <c r="W3" s="30">
        <f t="shared" si="1"/>
        <v>3666</v>
      </c>
      <c r="X3" s="34">
        <f t="shared" si="2"/>
        <v>2712.1068</v>
      </c>
      <c r="Y3" s="110"/>
      <c r="Z3" s="110"/>
      <c r="AA3" s="77"/>
      <c r="AB3" s="77"/>
      <c r="AC3" s="77"/>
    </row>
    <row r="4" spans="1:34" s="13" customFormat="1" x14ac:dyDescent="0.3">
      <c r="A4" s="83" t="s">
        <v>0</v>
      </c>
      <c r="B4" s="83" t="s">
        <v>14</v>
      </c>
      <c r="C4" s="83" t="s">
        <v>2</v>
      </c>
      <c r="D4" s="83" t="s">
        <v>3</v>
      </c>
      <c r="E4" s="84">
        <v>45506</v>
      </c>
      <c r="F4" s="83">
        <v>18</v>
      </c>
      <c r="G4" s="83" t="s">
        <v>104</v>
      </c>
      <c r="H4" s="112">
        <v>0.14380000000000001</v>
      </c>
      <c r="I4" s="112">
        <v>0.35039999999999999</v>
      </c>
      <c r="J4" s="112">
        <v>0.3115</v>
      </c>
      <c r="K4" s="112">
        <v>0.17050000000000001</v>
      </c>
      <c r="L4" s="112">
        <v>1.66E-2</v>
      </c>
      <c r="M4" s="112">
        <v>4.1999999999999997E-3</v>
      </c>
      <c r="N4" s="112">
        <v>3.0000000000000001E-3</v>
      </c>
      <c r="O4" s="134">
        <v>3558</v>
      </c>
      <c r="P4" s="77"/>
      <c r="Q4" s="77"/>
      <c r="R4" s="87">
        <v>0.77969999999999995</v>
      </c>
      <c r="S4" s="88">
        <v>0.76529999999999998</v>
      </c>
      <c r="T4" s="110">
        <v>0.245</v>
      </c>
      <c r="U4" s="212">
        <v>6.0999999999999999E-2</v>
      </c>
      <c r="V4" s="34">
        <f t="shared" si="0"/>
        <v>2774.1725999999999</v>
      </c>
      <c r="W4" s="30">
        <f t="shared" si="1"/>
        <v>3340.962</v>
      </c>
      <c r="X4" s="34">
        <f t="shared" si="2"/>
        <v>2556.8382185999999</v>
      </c>
      <c r="Y4" s="110"/>
      <c r="Z4" s="110"/>
      <c r="AA4" s="77"/>
      <c r="AB4" s="77"/>
      <c r="AC4" s="77"/>
    </row>
    <row r="5" spans="1:34" s="13" customFormat="1" x14ac:dyDescent="0.3">
      <c r="A5" s="83" t="s">
        <v>0</v>
      </c>
      <c r="B5" s="83" t="s">
        <v>14</v>
      </c>
      <c r="C5" s="83" t="s">
        <v>2</v>
      </c>
      <c r="D5" s="83" t="s">
        <v>3</v>
      </c>
      <c r="E5" s="84">
        <v>45516</v>
      </c>
      <c r="F5" s="83">
        <v>18</v>
      </c>
      <c r="G5" s="83" t="s">
        <v>104</v>
      </c>
      <c r="H5" s="112">
        <v>0.64370000000000005</v>
      </c>
      <c r="I5" s="112">
        <v>0.2019</v>
      </c>
      <c r="J5" s="112">
        <v>0.10150000000000001</v>
      </c>
      <c r="K5" s="112">
        <v>3.1699999999999999E-2</v>
      </c>
      <c r="L5" s="112">
        <v>1.24E-2</v>
      </c>
      <c r="M5" s="112">
        <v>5.1999999999999998E-3</v>
      </c>
      <c r="N5" s="112">
        <v>3.7000000000000002E-3</v>
      </c>
      <c r="O5" s="134">
        <v>3486</v>
      </c>
      <c r="P5" s="77"/>
      <c r="Q5" s="77"/>
      <c r="R5" s="87">
        <v>0.92800000000000005</v>
      </c>
      <c r="S5" s="88">
        <v>0.83409999999999995</v>
      </c>
      <c r="T5" s="77">
        <v>1.6E-2</v>
      </c>
      <c r="U5" s="212">
        <v>0.56599999999999995</v>
      </c>
      <c r="V5" s="34">
        <f t="shared" si="0"/>
        <v>3235.0080000000003</v>
      </c>
      <c r="W5" s="30">
        <f t="shared" si="1"/>
        <v>1512.9240000000002</v>
      </c>
      <c r="X5" s="34">
        <f t="shared" si="2"/>
        <v>1261.9299084000002</v>
      </c>
      <c r="Y5" s="77"/>
      <c r="Z5" s="112">
        <v>0.82699999999999996</v>
      </c>
      <c r="AA5" s="112">
        <v>0.63754999999999995</v>
      </c>
      <c r="AB5" s="77"/>
      <c r="AC5" s="77"/>
    </row>
    <row r="6" spans="1:34" s="13" customFormat="1" x14ac:dyDescent="0.3">
      <c r="A6" s="83" t="s">
        <v>0</v>
      </c>
      <c r="B6" s="83" t="s">
        <v>1</v>
      </c>
      <c r="C6" s="83"/>
      <c r="D6" s="83" t="s">
        <v>3</v>
      </c>
      <c r="E6" s="84">
        <v>45516</v>
      </c>
      <c r="F6" s="83">
        <v>18</v>
      </c>
      <c r="G6" s="83" t="s">
        <v>104</v>
      </c>
      <c r="H6" s="112">
        <v>0.1105</v>
      </c>
      <c r="I6" s="112">
        <v>0.29959999999999998</v>
      </c>
      <c r="J6" s="112">
        <v>0.3503</v>
      </c>
      <c r="K6" s="112">
        <v>0.18099999999999999</v>
      </c>
      <c r="L6" s="112">
        <v>2.5600000000000001E-2</v>
      </c>
      <c r="M6" s="112">
        <v>1.8499999999999999E-2</v>
      </c>
      <c r="N6" s="112">
        <v>1.46E-2</v>
      </c>
      <c r="O6" s="134">
        <v>3486</v>
      </c>
      <c r="P6" s="77"/>
      <c r="Q6" s="77"/>
      <c r="R6" s="87">
        <v>0.74439999999999995</v>
      </c>
      <c r="S6" s="88">
        <v>0.72909999999999997</v>
      </c>
      <c r="T6" s="77">
        <v>0.26800000000000002</v>
      </c>
      <c r="U6" s="212">
        <v>6.5000000000000002E-2</v>
      </c>
      <c r="V6" s="34">
        <f t="shared" si="0"/>
        <v>2594.9784</v>
      </c>
      <c r="W6" s="30">
        <f t="shared" si="1"/>
        <v>3259.4100000000003</v>
      </c>
      <c r="X6" s="34">
        <f t="shared" si="2"/>
        <v>2376.4358310000002</v>
      </c>
      <c r="Y6" s="77"/>
      <c r="Z6" s="112">
        <v>0.56608999999999998</v>
      </c>
      <c r="AA6" s="112">
        <v>0.56291000000000002</v>
      </c>
      <c r="AB6" s="77"/>
      <c r="AC6" s="77"/>
    </row>
    <row r="7" spans="1:34" s="77" customFormat="1" x14ac:dyDescent="0.3">
      <c r="A7" s="83" t="s">
        <v>0</v>
      </c>
      <c r="B7" s="83" t="s">
        <v>1</v>
      </c>
      <c r="C7" s="83" t="s">
        <v>2</v>
      </c>
      <c r="D7" s="83" t="s">
        <v>3</v>
      </c>
      <c r="E7" s="84">
        <v>45516</v>
      </c>
      <c r="F7" s="83">
        <v>18</v>
      </c>
      <c r="G7" s="83" t="s">
        <v>104</v>
      </c>
      <c r="H7" s="112">
        <v>0.1133</v>
      </c>
      <c r="I7" s="112">
        <v>0.30609999999999998</v>
      </c>
      <c r="J7" s="112">
        <v>0.35510000000000003</v>
      </c>
      <c r="K7" s="112">
        <v>0.17369999999999999</v>
      </c>
      <c r="L7" s="112">
        <v>2.24E-2</v>
      </c>
      <c r="M7" s="112">
        <v>1.6400000000000001E-2</v>
      </c>
      <c r="N7" s="112">
        <v>1.29E-2</v>
      </c>
      <c r="O7" s="134">
        <v>3804</v>
      </c>
      <c r="R7" s="87">
        <v>0.75180000000000002</v>
      </c>
      <c r="S7" s="88">
        <v>0.75180000000000002</v>
      </c>
      <c r="T7" s="110">
        <v>0.28599999999999998</v>
      </c>
      <c r="U7" s="212">
        <v>0</v>
      </c>
      <c r="V7" s="34">
        <f t="shared" ref="V7:V9" si="3">O7*R7</f>
        <v>2859.8472000000002</v>
      </c>
      <c r="W7" s="30">
        <f t="shared" ref="W7:W9" si="4">O7*(1-U7)</f>
        <v>3804</v>
      </c>
      <c r="X7" s="34">
        <f t="shared" ref="X7:X9" si="5">S7*W7</f>
        <v>2859.8472000000002</v>
      </c>
      <c r="Y7" s="110"/>
      <c r="Z7" s="110">
        <v>0.107</v>
      </c>
      <c r="AB7" s="110"/>
      <c r="AC7" s="110"/>
      <c r="AD7" s="112">
        <v>0.57769000000000004</v>
      </c>
      <c r="AE7" s="112">
        <v>0.57769000000000004</v>
      </c>
      <c r="AF7" s="110"/>
      <c r="AG7" s="110"/>
      <c r="AH7" s="110"/>
    </row>
    <row r="8" spans="1:34" s="77" customFormat="1" x14ac:dyDescent="0.3">
      <c r="A8" s="83" t="s">
        <v>0</v>
      </c>
      <c r="B8" s="83" t="s">
        <v>14</v>
      </c>
      <c r="C8" s="83" t="s">
        <v>2</v>
      </c>
      <c r="D8" s="83" t="s">
        <v>3</v>
      </c>
      <c r="E8" s="84">
        <v>45516</v>
      </c>
      <c r="F8" s="83">
        <v>18</v>
      </c>
      <c r="G8" s="83" t="s">
        <v>104</v>
      </c>
      <c r="H8" s="112">
        <v>0.64439999999999997</v>
      </c>
      <c r="I8" s="112">
        <v>0.21240000000000001</v>
      </c>
      <c r="J8" s="112">
        <v>0.1007</v>
      </c>
      <c r="K8" s="112">
        <v>2.5600000000000001E-2</v>
      </c>
      <c r="L8" s="112">
        <v>9.9000000000000008E-3</v>
      </c>
      <c r="M8" s="112">
        <v>4.1000000000000003E-3</v>
      </c>
      <c r="N8" s="112">
        <v>2.8999999999999998E-3</v>
      </c>
      <c r="O8" s="134">
        <v>3804</v>
      </c>
      <c r="R8" s="87">
        <v>0.93269999999999997</v>
      </c>
      <c r="S8" s="88">
        <v>0.86539999999999995</v>
      </c>
      <c r="T8" s="110">
        <v>0.03</v>
      </c>
      <c r="U8" s="212">
        <v>0.5</v>
      </c>
      <c r="V8" s="34">
        <f t="shared" si="3"/>
        <v>3547.9908</v>
      </c>
      <c r="W8" s="30">
        <f t="shared" si="4"/>
        <v>1902</v>
      </c>
      <c r="X8" s="34">
        <f t="shared" si="5"/>
        <v>1645.9907999999998</v>
      </c>
      <c r="Y8" s="110"/>
      <c r="Z8" s="110">
        <v>8.9999999999999993E-3</v>
      </c>
      <c r="AB8" s="110"/>
      <c r="AC8" s="110"/>
      <c r="AD8" s="112">
        <v>0.83964000000000005</v>
      </c>
      <c r="AE8" s="112">
        <v>0.67927999999999999</v>
      </c>
      <c r="AF8" s="110"/>
      <c r="AG8" s="110"/>
      <c r="AH8" s="110"/>
    </row>
    <row r="9" spans="1:34" s="77" customFormat="1" x14ac:dyDescent="0.3">
      <c r="A9" s="83" t="s">
        <v>0</v>
      </c>
      <c r="B9" s="83" t="s">
        <v>14</v>
      </c>
      <c r="C9" s="83" t="s">
        <v>2</v>
      </c>
      <c r="D9" s="83" t="s">
        <v>3</v>
      </c>
      <c r="E9" s="84">
        <v>45516</v>
      </c>
      <c r="F9" s="83">
        <v>18</v>
      </c>
      <c r="G9" s="83" t="s">
        <v>104</v>
      </c>
      <c r="H9" s="112">
        <v>0.14419999999999999</v>
      </c>
      <c r="I9" s="112">
        <v>0.35420000000000001</v>
      </c>
      <c r="J9" s="112">
        <v>0.31140000000000001</v>
      </c>
      <c r="K9" s="112">
        <v>0.16689999999999999</v>
      </c>
      <c r="L9" s="112">
        <v>1.6299999999999999E-2</v>
      </c>
      <c r="M9" s="112">
        <v>4.1000000000000003E-3</v>
      </c>
      <c r="N9" s="112">
        <v>2.8999999999999998E-3</v>
      </c>
      <c r="O9" s="134">
        <v>3702</v>
      </c>
      <c r="R9" s="87">
        <v>0.78420000000000001</v>
      </c>
      <c r="S9" s="88">
        <v>0.78420000000000001</v>
      </c>
      <c r="T9" s="110">
        <v>0.24099999999999999</v>
      </c>
      <c r="U9" s="212">
        <v>0</v>
      </c>
      <c r="V9" s="34">
        <f t="shared" si="3"/>
        <v>2903.1084000000001</v>
      </c>
      <c r="W9" s="30">
        <f t="shared" si="4"/>
        <v>3702</v>
      </c>
      <c r="X9" s="34">
        <f t="shared" si="5"/>
        <v>2903.1084000000001</v>
      </c>
      <c r="Y9" s="110"/>
      <c r="Z9" s="110">
        <v>8.7999999999999995E-2</v>
      </c>
      <c r="AB9" s="110"/>
      <c r="AC9" s="110"/>
      <c r="AD9" s="112">
        <v>0.62575000000000003</v>
      </c>
      <c r="AE9" s="112">
        <v>0.62575000000000003</v>
      </c>
      <c r="AF9" s="110"/>
      <c r="AG9" s="110"/>
      <c r="AH9" s="110"/>
    </row>
    <row r="10" spans="1:34" s="13" customFormat="1" x14ac:dyDescent="0.3">
      <c r="A10" s="83" t="s">
        <v>0</v>
      </c>
      <c r="B10" s="83" t="s">
        <v>14</v>
      </c>
      <c r="C10" s="83" t="s">
        <v>2</v>
      </c>
      <c r="D10" s="83" t="s">
        <v>3</v>
      </c>
      <c r="E10" s="84">
        <v>45516</v>
      </c>
      <c r="F10" s="83">
        <v>18</v>
      </c>
      <c r="G10" s="83" t="s">
        <v>104</v>
      </c>
      <c r="H10" s="112">
        <v>0.14349999999999999</v>
      </c>
      <c r="I10" s="112">
        <v>0.3402</v>
      </c>
      <c r="J10" s="112">
        <v>0.31119999999999998</v>
      </c>
      <c r="K10" s="112">
        <v>0.17630000000000001</v>
      </c>
      <c r="L10" s="112">
        <v>1.9900000000000001E-2</v>
      </c>
      <c r="M10" s="112">
        <v>5.1999999999999998E-3</v>
      </c>
      <c r="N10" s="112">
        <v>3.7000000000000002E-3</v>
      </c>
      <c r="O10" s="134">
        <v>3462</v>
      </c>
      <c r="P10" s="77"/>
      <c r="Q10" s="77"/>
      <c r="R10" s="87">
        <v>0.76859999999999995</v>
      </c>
      <c r="S10" s="88">
        <v>0.76859999999999995</v>
      </c>
      <c r="T10" s="77">
        <v>0.27100000000000002</v>
      </c>
      <c r="U10" s="212">
        <v>0</v>
      </c>
      <c r="V10" s="34">
        <f t="shared" si="0"/>
        <v>2660.8932</v>
      </c>
      <c r="W10" s="30">
        <f t="shared" si="1"/>
        <v>3462</v>
      </c>
      <c r="X10" s="34">
        <f t="shared" si="2"/>
        <v>2660.8932</v>
      </c>
      <c r="Y10" s="77"/>
      <c r="Z10" s="112">
        <v>0.61770000000000003</v>
      </c>
      <c r="AA10" s="112">
        <v>0.61770000000000003</v>
      </c>
      <c r="AB10" s="77"/>
      <c r="AC10" s="77"/>
    </row>
    <row r="11" spans="1:34" s="66" customFormat="1" x14ac:dyDescent="0.3">
      <c r="A11" s="83" t="s">
        <v>0</v>
      </c>
      <c r="B11" s="83" t="s">
        <v>14</v>
      </c>
      <c r="C11" s="83" t="s">
        <v>15</v>
      </c>
      <c r="D11" s="83" t="s">
        <v>3</v>
      </c>
      <c r="E11" s="84">
        <v>45507</v>
      </c>
      <c r="F11" s="83">
        <v>18</v>
      </c>
      <c r="G11" s="83" t="s">
        <v>104</v>
      </c>
      <c r="H11" s="112">
        <v>0.6341</v>
      </c>
      <c r="I11" s="112">
        <v>0.1976</v>
      </c>
      <c r="J11" s="112">
        <v>8.7599999999999997E-2</v>
      </c>
      <c r="K11" s="112">
        <v>4.87E-2</v>
      </c>
      <c r="L11" s="112">
        <v>1.8700000000000001E-2</v>
      </c>
      <c r="M11" s="112">
        <v>7.9000000000000008E-3</v>
      </c>
      <c r="N11" s="112">
        <v>5.4000000000000003E-3</v>
      </c>
      <c r="O11" s="134">
        <v>3726</v>
      </c>
      <c r="P11" s="77"/>
      <c r="Q11" s="77"/>
      <c r="R11" s="87">
        <v>0.88780000000000003</v>
      </c>
      <c r="S11" s="88">
        <v>0.77559999999999996</v>
      </c>
      <c r="T11" s="110">
        <v>3.6999999999999998E-2</v>
      </c>
      <c r="U11" s="212">
        <v>0.5</v>
      </c>
      <c r="V11" s="34">
        <f t="shared" si="0"/>
        <v>3307.9428000000003</v>
      </c>
      <c r="W11" s="30">
        <f t="shared" si="1"/>
        <v>1863</v>
      </c>
      <c r="X11" s="34">
        <f t="shared" si="2"/>
        <v>1444.9427999999998</v>
      </c>
      <c r="Y11" s="110"/>
      <c r="Z11" s="110"/>
      <c r="AA11" s="77"/>
      <c r="AB11" s="77"/>
      <c r="AC11" s="77"/>
    </row>
    <row r="12" spans="1:34" s="66" customFormat="1" x14ac:dyDescent="0.3">
      <c r="A12" s="83" t="s">
        <v>0</v>
      </c>
      <c r="B12" s="83" t="s">
        <v>1</v>
      </c>
      <c r="C12" s="83" t="s">
        <v>15</v>
      </c>
      <c r="D12" s="83" t="s">
        <v>3</v>
      </c>
      <c r="E12" s="84">
        <v>45507</v>
      </c>
      <c r="F12" s="83">
        <v>18</v>
      </c>
      <c r="G12" s="83" t="s">
        <v>104</v>
      </c>
      <c r="H12" s="112">
        <v>0.1111</v>
      </c>
      <c r="I12" s="112">
        <v>0.31040000000000001</v>
      </c>
      <c r="J12" s="112">
        <v>0.35489999999999999</v>
      </c>
      <c r="K12" s="112">
        <v>0.17130000000000001</v>
      </c>
      <c r="L12" s="112">
        <v>2.2499999999999999E-2</v>
      </c>
      <c r="M12" s="112">
        <v>1.66E-2</v>
      </c>
      <c r="N12" s="112">
        <v>1.32E-2</v>
      </c>
      <c r="O12" s="134">
        <v>3726</v>
      </c>
      <c r="P12" s="77"/>
      <c r="Q12" s="77"/>
      <c r="R12" s="87">
        <v>0.75419999999999998</v>
      </c>
      <c r="S12" s="88">
        <v>0.75419999999999998</v>
      </c>
      <c r="T12" s="110">
        <v>0.27500000000000002</v>
      </c>
      <c r="U12" s="212">
        <v>0</v>
      </c>
      <c r="V12" s="34">
        <f t="shared" si="0"/>
        <v>2810.1491999999998</v>
      </c>
      <c r="W12" s="30">
        <f t="shared" si="1"/>
        <v>3726</v>
      </c>
      <c r="X12" s="34">
        <f t="shared" si="2"/>
        <v>2810.1491999999998</v>
      </c>
      <c r="Y12" s="110"/>
      <c r="Z12" s="110"/>
      <c r="AA12" s="77"/>
      <c r="AB12" s="77"/>
      <c r="AC12" s="77"/>
    </row>
    <row r="13" spans="1:34" s="66" customFormat="1" x14ac:dyDescent="0.3">
      <c r="A13" s="83" t="s">
        <v>0</v>
      </c>
      <c r="B13" s="83" t="s">
        <v>106</v>
      </c>
      <c r="C13" s="83" t="s">
        <v>15</v>
      </c>
      <c r="D13" s="83" t="s">
        <v>3</v>
      </c>
      <c r="E13" s="84">
        <v>45507</v>
      </c>
      <c r="F13" s="83">
        <v>18</v>
      </c>
      <c r="G13" s="83" t="s">
        <v>104</v>
      </c>
      <c r="H13" s="112">
        <v>0.13420000000000001</v>
      </c>
      <c r="I13" s="112">
        <v>0.33910000000000001</v>
      </c>
      <c r="J13" s="112">
        <v>0.29720000000000002</v>
      </c>
      <c r="K13" s="112">
        <v>0.19089999999999999</v>
      </c>
      <c r="L13" s="112">
        <v>2.52E-2</v>
      </c>
      <c r="M13" s="112">
        <v>7.9000000000000008E-3</v>
      </c>
      <c r="N13" s="112">
        <v>5.4000000000000003E-3</v>
      </c>
      <c r="O13" s="134">
        <v>3618</v>
      </c>
      <c r="P13" s="77"/>
      <c r="Q13" s="77"/>
      <c r="R13" s="87">
        <v>0.74380000000000002</v>
      </c>
      <c r="S13" s="88">
        <v>0.74380000000000002</v>
      </c>
      <c r="T13" s="110">
        <v>0.22900000000000001</v>
      </c>
      <c r="U13" s="212">
        <v>0</v>
      </c>
      <c r="V13" s="34">
        <f t="shared" si="0"/>
        <v>2691.0684000000001</v>
      </c>
      <c r="W13" s="30">
        <f t="shared" si="1"/>
        <v>3618</v>
      </c>
      <c r="X13" s="34">
        <f t="shared" si="2"/>
        <v>2691.0684000000001</v>
      </c>
      <c r="Y13" s="110"/>
      <c r="Z13" s="110"/>
      <c r="AA13" s="77"/>
      <c r="AB13" s="77"/>
      <c r="AC13" s="77"/>
    </row>
    <row r="14" spans="1:34" s="66" customFormat="1" x14ac:dyDescent="0.3">
      <c r="A14" s="83" t="s">
        <v>0</v>
      </c>
      <c r="B14" s="83" t="s">
        <v>14</v>
      </c>
      <c r="C14" s="83" t="s">
        <v>135</v>
      </c>
      <c r="D14" s="83" t="s">
        <v>3</v>
      </c>
      <c r="E14" s="84">
        <v>45508</v>
      </c>
      <c r="F14" s="83">
        <v>18</v>
      </c>
      <c r="G14" s="83" t="s">
        <v>104</v>
      </c>
      <c r="H14" s="112">
        <v>0.63380000000000003</v>
      </c>
      <c r="I14" s="112">
        <v>0.23050000000000001</v>
      </c>
      <c r="J14" s="112">
        <v>0.1182</v>
      </c>
      <c r="K14" s="112">
        <v>1.2500000000000001E-2</v>
      </c>
      <c r="L14" s="112">
        <v>3.0999999999999999E-3</v>
      </c>
      <c r="M14" s="112">
        <v>1E-3</v>
      </c>
      <c r="N14" s="112">
        <v>8.9999999999999998E-4</v>
      </c>
      <c r="O14" s="134">
        <v>3840</v>
      </c>
      <c r="P14" s="77"/>
      <c r="Q14" s="77"/>
      <c r="R14" s="87">
        <v>0.92810000000000004</v>
      </c>
      <c r="S14" s="88">
        <v>0.88100000000000001</v>
      </c>
      <c r="T14" s="110">
        <v>2.4E-2</v>
      </c>
      <c r="U14" s="212">
        <v>0.55800000000000005</v>
      </c>
      <c r="V14" s="34">
        <f t="shared" si="0"/>
        <v>3563.904</v>
      </c>
      <c r="W14" s="30">
        <f t="shared" si="1"/>
        <v>1697.2799999999997</v>
      </c>
      <c r="X14" s="34">
        <f t="shared" si="2"/>
        <v>1495.3036799999998</v>
      </c>
      <c r="Y14" s="110"/>
      <c r="Z14" s="110"/>
      <c r="AA14" s="77"/>
      <c r="AB14" s="77"/>
      <c r="AC14" s="77"/>
    </row>
    <row r="15" spans="1:34" s="66" customFormat="1" x14ac:dyDescent="0.3">
      <c r="A15" s="83" t="s">
        <v>0</v>
      </c>
      <c r="B15" s="83" t="s">
        <v>14</v>
      </c>
      <c r="C15" s="83" t="s">
        <v>135</v>
      </c>
      <c r="D15" s="83" t="s">
        <v>3</v>
      </c>
      <c r="E15" s="84">
        <v>45508</v>
      </c>
      <c r="F15" s="83">
        <v>18</v>
      </c>
      <c r="G15" s="83" t="s">
        <v>104</v>
      </c>
      <c r="H15" s="112">
        <v>0.39760000000000001</v>
      </c>
      <c r="I15" s="112">
        <v>0.3049</v>
      </c>
      <c r="J15" s="112">
        <v>0.2399</v>
      </c>
      <c r="K15" s="112">
        <v>5.2299999999999999E-2</v>
      </c>
      <c r="L15" s="112">
        <v>3.3999999999999998E-3</v>
      </c>
      <c r="M15" s="112">
        <v>1E-3</v>
      </c>
      <c r="N15" s="112">
        <v>8.9999999999999998E-4</v>
      </c>
      <c r="O15" s="134">
        <v>3732</v>
      </c>
      <c r="P15" s="77"/>
      <c r="Q15" s="77"/>
      <c r="R15" s="87">
        <v>0.63129999999999997</v>
      </c>
      <c r="S15" s="88">
        <v>0.62939999999999996</v>
      </c>
      <c r="T15" s="110">
        <v>0.222</v>
      </c>
      <c r="U15" s="212">
        <v>5.8000000000000003E-2</v>
      </c>
      <c r="V15" s="34">
        <f t="shared" si="0"/>
        <v>2356.0115999999998</v>
      </c>
      <c r="W15" s="30">
        <f t="shared" si="1"/>
        <v>3515.5439999999999</v>
      </c>
      <c r="X15" s="34">
        <f t="shared" si="2"/>
        <v>2212.6833935999998</v>
      </c>
      <c r="Y15" s="110"/>
      <c r="Z15" s="110"/>
      <c r="AA15" s="77"/>
      <c r="AB15" s="77"/>
      <c r="AC15" s="77"/>
    </row>
    <row r="16" spans="1:34" s="66" customFormat="1" x14ac:dyDescent="0.3">
      <c r="A16" s="83" t="s">
        <v>0</v>
      </c>
      <c r="B16" s="83" t="s">
        <v>1</v>
      </c>
      <c r="C16" s="83" t="s">
        <v>135</v>
      </c>
      <c r="D16" s="83" t="s">
        <v>3</v>
      </c>
      <c r="E16" s="84">
        <v>45508</v>
      </c>
      <c r="F16" s="83">
        <v>18</v>
      </c>
      <c r="G16" s="83" t="s">
        <v>104</v>
      </c>
      <c r="H16" s="112">
        <v>0.11360000000000001</v>
      </c>
      <c r="I16" s="112">
        <v>0.30640000000000001</v>
      </c>
      <c r="J16" s="112">
        <v>0.35809999999999997</v>
      </c>
      <c r="K16" s="112">
        <v>0.15310000000000001</v>
      </c>
      <c r="L16" s="112">
        <v>4.0300000000000002E-2</v>
      </c>
      <c r="M16" s="112">
        <v>1.5900000000000001E-2</v>
      </c>
      <c r="N16" s="112">
        <v>1.26E-2</v>
      </c>
      <c r="O16" s="134">
        <v>3840</v>
      </c>
      <c r="P16" s="77"/>
      <c r="Q16" s="77"/>
      <c r="R16" s="87">
        <v>0.75290000000000001</v>
      </c>
      <c r="S16" s="88">
        <v>0.75290000000000001</v>
      </c>
      <c r="T16" s="110">
        <v>0.26800000000000002</v>
      </c>
      <c r="U16" s="212">
        <v>0</v>
      </c>
      <c r="V16" s="34">
        <f t="shared" si="0"/>
        <v>2891.136</v>
      </c>
      <c r="W16" s="30">
        <f t="shared" si="1"/>
        <v>3840</v>
      </c>
      <c r="X16" s="34">
        <f t="shared" si="2"/>
        <v>2891.136</v>
      </c>
      <c r="Y16" s="110"/>
      <c r="Z16" s="110"/>
      <c r="AA16" s="77"/>
      <c r="AB16" s="77"/>
      <c r="AC16" s="77"/>
    </row>
    <row r="17" spans="1:34" s="77" customFormat="1" x14ac:dyDescent="0.3">
      <c r="A17" s="83" t="s">
        <v>0</v>
      </c>
      <c r="B17" s="83" t="s">
        <v>14</v>
      </c>
      <c r="C17" s="83"/>
      <c r="D17" s="83" t="s">
        <v>3</v>
      </c>
      <c r="E17" s="84">
        <v>45508</v>
      </c>
      <c r="F17" s="83">
        <v>18</v>
      </c>
      <c r="G17" s="83" t="s">
        <v>104</v>
      </c>
      <c r="H17" s="112">
        <v>0.65249999999999997</v>
      </c>
      <c r="I17" s="112">
        <v>0.24149999999999999</v>
      </c>
      <c r="J17" s="112">
        <v>0.10539999999999999</v>
      </c>
      <c r="K17" s="112">
        <v>5.9999999999999995E-4</v>
      </c>
      <c r="L17" s="110"/>
      <c r="M17" s="110"/>
      <c r="N17" s="110"/>
      <c r="O17" s="134">
        <v>3456</v>
      </c>
      <c r="R17" s="87">
        <v>0.94010000000000005</v>
      </c>
      <c r="S17" s="88">
        <v>0.91669999999999996</v>
      </c>
      <c r="T17" s="110">
        <v>0</v>
      </c>
      <c r="U17" s="212">
        <v>0.66700000000000004</v>
      </c>
      <c r="V17" s="34">
        <f t="shared" si="0"/>
        <v>3248.9856</v>
      </c>
      <c r="W17" s="30">
        <f t="shared" si="1"/>
        <v>1150.848</v>
      </c>
      <c r="X17" s="34">
        <f t="shared" si="2"/>
        <v>1054.9823615999999</v>
      </c>
      <c r="Y17" s="110"/>
      <c r="Z17" s="110"/>
    </row>
    <row r="18" spans="1:34" s="77" customFormat="1" x14ac:dyDescent="0.3">
      <c r="A18" s="83" t="s">
        <v>0</v>
      </c>
      <c r="B18" s="83" t="s">
        <v>14</v>
      </c>
      <c r="C18" s="83"/>
      <c r="D18" s="83" t="s">
        <v>3</v>
      </c>
      <c r="E18" s="84">
        <v>45508</v>
      </c>
      <c r="F18" s="83">
        <v>18</v>
      </c>
      <c r="G18" s="83" t="s">
        <v>104</v>
      </c>
      <c r="H18" s="112">
        <v>0.13009999999999999</v>
      </c>
      <c r="I18" s="112">
        <v>0.31940000000000002</v>
      </c>
      <c r="J18" s="112">
        <v>0.30759999999999998</v>
      </c>
      <c r="K18" s="112">
        <v>0.1779</v>
      </c>
      <c r="L18" s="112">
        <v>0.05</v>
      </c>
      <c r="M18" s="112">
        <v>8.8999999999999999E-3</v>
      </c>
      <c r="N18" s="112">
        <v>6.1999999999999998E-3</v>
      </c>
      <c r="O18" s="134">
        <v>3384</v>
      </c>
      <c r="R18" s="87">
        <v>0.72399999999999998</v>
      </c>
      <c r="S18" s="88">
        <v>0.72399999999999998</v>
      </c>
      <c r="T18" s="110">
        <v>0.23799999999999999</v>
      </c>
      <c r="U18" s="212">
        <v>0</v>
      </c>
      <c r="V18" s="34">
        <f t="shared" si="0"/>
        <v>2450.0160000000001</v>
      </c>
      <c r="W18" s="30">
        <f t="shared" si="1"/>
        <v>3384</v>
      </c>
      <c r="X18" s="34">
        <f t="shared" si="2"/>
        <v>2450.0160000000001</v>
      </c>
      <c r="Y18" s="110"/>
      <c r="Z18" s="110"/>
    </row>
    <row r="19" spans="1:34" s="77" customFormat="1" ht="13.8" customHeight="1" x14ac:dyDescent="0.3">
      <c r="A19" s="83" t="s">
        <v>0</v>
      </c>
      <c r="B19" s="83" t="s">
        <v>1</v>
      </c>
      <c r="C19" s="83"/>
      <c r="D19" s="83" t="s">
        <v>3</v>
      </c>
      <c r="E19" s="84">
        <v>45508</v>
      </c>
      <c r="F19" s="83">
        <v>18</v>
      </c>
      <c r="G19" s="83" t="s">
        <v>104</v>
      </c>
      <c r="H19" s="112">
        <v>0.109</v>
      </c>
      <c r="I19" s="112">
        <v>0.29809999999999998</v>
      </c>
      <c r="J19" s="112">
        <v>0.35299999999999998</v>
      </c>
      <c r="K19" s="112">
        <v>0.1802</v>
      </c>
      <c r="L19" s="112">
        <v>2.58E-2</v>
      </c>
      <c r="M19" s="112">
        <v>1.89E-2</v>
      </c>
      <c r="N19" s="112">
        <v>1.49E-2</v>
      </c>
      <c r="O19" s="134">
        <v>3456</v>
      </c>
      <c r="R19" s="87">
        <v>0.75060000000000004</v>
      </c>
      <c r="S19" s="88">
        <v>0.75060000000000004</v>
      </c>
      <c r="T19" s="110">
        <v>0.24199999999999999</v>
      </c>
      <c r="U19" s="212">
        <v>0</v>
      </c>
      <c r="V19" s="34">
        <f t="shared" si="0"/>
        <v>2594.0736000000002</v>
      </c>
      <c r="W19" s="30">
        <f t="shared" si="1"/>
        <v>3456</v>
      </c>
      <c r="X19" s="34">
        <f t="shared" si="2"/>
        <v>2594.0736000000002</v>
      </c>
      <c r="Y19" s="110"/>
      <c r="Z19" s="110"/>
    </row>
    <row r="20" spans="1:34" s="77" customFormat="1" x14ac:dyDescent="0.3">
      <c r="A20" s="83" t="s">
        <v>0</v>
      </c>
      <c r="B20" s="83" t="s">
        <v>14</v>
      </c>
      <c r="C20" s="83" t="s">
        <v>122</v>
      </c>
      <c r="D20" s="83" t="s">
        <v>3</v>
      </c>
      <c r="E20" s="84">
        <v>45521</v>
      </c>
      <c r="F20" s="83">
        <v>18</v>
      </c>
      <c r="G20" s="83" t="s">
        <v>104</v>
      </c>
      <c r="H20" s="112">
        <v>0.61119999999999997</v>
      </c>
      <c r="I20" s="112">
        <v>0.22700000000000001</v>
      </c>
      <c r="J20" s="112">
        <v>0.12859999999999999</v>
      </c>
      <c r="K20" s="112">
        <v>2.6200000000000001E-2</v>
      </c>
      <c r="L20" s="112">
        <v>4.1000000000000003E-3</v>
      </c>
      <c r="M20" s="112">
        <v>1.5E-3</v>
      </c>
      <c r="N20" s="112">
        <v>1.2999999999999999E-3</v>
      </c>
      <c r="O20" s="134">
        <v>3900</v>
      </c>
      <c r="R20" s="87">
        <v>0.93049999999999999</v>
      </c>
      <c r="S20" s="88">
        <v>0.84309999999999996</v>
      </c>
      <c r="T20" s="110">
        <v>0</v>
      </c>
      <c r="U20" s="212">
        <v>0.66700000000000004</v>
      </c>
      <c r="V20" s="236">
        <f t="shared" si="0"/>
        <v>3628.95</v>
      </c>
      <c r="W20" s="237">
        <f t="shared" ref="W20:W22" si="6">O20*(1-U20)</f>
        <v>1298.6999999999998</v>
      </c>
      <c r="X20" s="236">
        <f t="shared" ref="X20:X22" si="7">S20*W20</f>
        <v>1094.9339699999998</v>
      </c>
      <c r="Y20" s="110"/>
      <c r="Z20" s="110"/>
      <c r="AA20" s="110"/>
      <c r="AB20" s="110"/>
      <c r="AC20" s="110"/>
      <c r="AD20" s="112">
        <v>0.80706</v>
      </c>
      <c r="AE20" s="112">
        <v>0.64541999999999999</v>
      </c>
      <c r="AF20" s="110"/>
      <c r="AG20" s="110"/>
      <c r="AH20" s="110"/>
    </row>
    <row r="21" spans="1:34" s="77" customFormat="1" x14ac:dyDescent="0.3">
      <c r="A21" s="83" t="s">
        <v>0</v>
      </c>
      <c r="B21" s="83" t="s">
        <v>1</v>
      </c>
      <c r="C21" s="83" t="s">
        <v>122</v>
      </c>
      <c r="D21" s="83" t="s">
        <v>3</v>
      </c>
      <c r="E21" s="84">
        <v>45521</v>
      </c>
      <c r="F21" s="83">
        <v>18</v>
      </c>
      <c r="G21" s="83" t="s">
        <v>104</v>
      </c>
      <c r="H21" s="112">
        <v>0.113</v>
      </c>
      <c r="I21" s="112">
        <v>0.30620000000000003</v>
      </c>
      <c r="J21" s="112">
        <v>0.35859999999999997</v>
      </c>
      <c r="K21" s="112">
        <v>0.17100000000000001</v>
      </c>
      <c r="L21" s="112">
        <v>2.2100000000000002E-2</v>
      </c>
      <c r="M21" s="112">
        <v>1.6299999999999999E-2</v>
      </c>
      <c r="N21" s="112">
        <v>1.29E-2</v>
      </c>
      <c r="O21" s="134">
        <v>3918</v>
      </c>
      <c r="R21" s="87">
        <v>0.75880000000000003</v>
      </c>
      <c r="S21" s="88">
        <v>0.74660000000000004</v>
      </c>
      <c r="T21" s="110">
        <v>0.23699999999999999</v>
      </c>
      <c r="U21" s="212">
        <v>5.8000000000000003E-2</v>
      </c>
      <c r="V21" s="236">
        <f t="shared" si="0"/>
        <v>2972.9784</v>
      </c>
      <c r="W21" s="237">
        <f t="shared" si="6"/>
        <v>3690.7559999999999</v>
      </c>
      <c r="X21" s="236">
        <f t="shared" si="7"/>
        <v>2755.5184296000002</v>
      </c>
      <c r="Y21" s="110"/>
      <c r="Z21" s="110"/>
      <c r="AA21" s="110"/>
      <c r="AB21" s="110"/>
      <c r="AC21" s="110"/>
      <c r="AD21" s="112">
        <v>0.57059000000000004</v>
      </c>
      <c r="AE21" s="112">
        <v>0.56823000000000001</v>
      </c>
      <c r="AF21" s="110"/>
      <c r="AG21" s="110"/>
      <c r="AH21" s="110"/>
    </row>
    <row r="22" spans="1:34" s="77" customFormat="1" x14ac:dyDescent="0.3">
      <c r="A22" s="83" t="s">
        <v>0</v>
      </c>
      <c r="B22" s="83" t="s">
        <v>14</v>
      </c>
      <c r="C22" s="83" t="s">
        <v>122</v>
      </c>
      <c r="D22" s="83" t="s">
        <v>3</v>
      </c>
      <c r="E22" s="84">
        <v>45521</v>
      </c>
      <c r="F22" s="83">
        <v>18</v>
      </c>
      <c r="G22" s="83" t="s">
        <v>104</v>
      </c>
      <c r="H22" s="112">
        <v>0.255</v>
      </c>
      <c r="I22" s="112">
        <v>0.32379999999999998</v>
      </c>
      <c r="J22" s="112">
        <v>0.29420000000000002</v>
      </c>
      <c r="K22" s="112">
        <v>0.1172</v>
      </c>
      <c r="L22" s="112">
        <v>7.0000000000000001E-3</v>
      </c>
      <c r="M22" s="112">
        <v>1.5E-3</v>
      </c>
      <c r="N22" s="112">
        <v>1.2999999999999999E-3</v>
      </c>
      <c r="O22" s="134">
        <v>3864</v>
      </c>
      <c r="R22" s="87">
        <v>0.68710000000000004</v>
      </c>
      <c r="S22" s="88">
        <v>0.68710000000000004</v>
      </c>
      <c r="T22" s="110">
        <v>0.22700000000000001</v>
      </c>
      <c r="U22" s="212">
        <v>0</v>
      </c>
      <c r="V22" s="236">
        <f t="shared" si="0"/>
        <v>2654.9544000000001</v>
      </c>
      <c r="W22" s="237">
        <f t="shared" si="6"/>
        <v>3864</v>
      </c>
      <c r="X22" s="236">
        <f t="shared" si="7"/>
        <v>2654.9544000000001</v>
      </c>
      <c r="Y22" s="110"/>
      <c r="Z22" s="110"/>
      <c r="AA22" s="110"/>
      <c r="AB22" s="110"/>
      <c r="AC22" s="110"/>
      <c r="AD22" s="112">
        <v>0.58421000000000001</v>
      </c>
      <c r="AE22" s="112">
        <v>0.58421000000000001</v>
      </c>
      <c r="AF22" s="110"/>
      <c r="AG22" s="110"/>
      <c r="AH22" s="110"/>
    </row>
    <row r="25" spans="1:34" s="1" customFormat="1" x14ac:dyDescent="0.3">
      <c r="I25" s="55" t="s">
        <v>39</v>
      </c>
      <c r="J25" s="56"/>
      <c r="K25" s="56"/>
      <c r="L25" s="56"/>
      <c r="M25" s="56"/>
      <c r="N25" s="56"/>
      <c r="O25" s="61">
        <f>SUM(O2:O24)</f>
        <v>77094</v>
      </c>
      <c r="P25" s="57"/>
      <c r="Q25" s="57"/>
      <c r="R25" s="164">
        <f t="shared" ref="R25:R37" si="8">V25/O25</f>
        <v>0.80256770176667447</v>
      </c>
      <c r="S25" s="163">
        <f>X25/W25</f>
        <v>0.7584297294611555</v>
      </c>
      <c r="T25" s="57"/>
      <c r="U25" s="59"/>
      <c r="V25" s="60">
        <f>SUM(V2:V24)</f>
        <v>61873.154399999999</v>
      </c>
      <c r="W25" s="61">
        <f>SUM(W2:W24)</f>
        <v>61586.423999999999</v>
      </c>
      <c r="X25" s="62">
        <f>SUM(X2:X24)</f>
        <v>46708.974892800012</v>
      </c>
    </row>
    <row r="26" spans="1:34" s="1" customFormat="1" x14ac:dyDescent="0.3">
      <c r="I26" s="55" t="s">
        <v>43</v>
      </c>
      <c r="J26" s="56"/>
      <c r="K26" s="56"/>
      <c r="L26" s="56"/>
      <c r="M26" s="56"/>
      <c r="N26" s="56"/>
      <c r="O26" s="61">
        <f>SUMIF(B1:B23,"CLUSTER",O1:O23)</f>
        <v>25896</v>
      </c>
      <c r="P26" s="57"/>
      <c r="Q26" s="57"/>
      <c r="R26" s="164">
        <f t="shared" si="8"/>
        <v>0.75051241890639475</v>
      </c>
      <c r="S26" s="163">
        <f t="shared" ref="S26:S37" si="9">X26/W26</f>
        <v>0.74676295487577582</v>
      </c>
      <c r="T26" s="57"/>
      <c r="U26" s="59"/>
      <c r="V26" s="60">
        <f>SUMIF(B1:B24,"CLUSTER",V1:V24)</f>
        <v>19435.2696</v>
      </c>
      <c r="W26" s="61">
        <f>SUMIF(B1:B24,"CLUSTER",W1:W24)</f>
        <v>25442.166000000001</v>
      </c>
      <c r="X26" s="62">
        <f>SUMIF(B1:B24,"CLUSTER",X1:X24)</f>
        <v>18999.267060599999</v>
      </c>
    </row>
    <row r="27" spans="1:34" x14ac:dyDescent="0.3">
      <c r="I27" s="104" t="s">
        <v>41</v>
      </c>
      <c r="J27" s="105"/>
      <c r="K27" s="105"/>
      <c r="L27" s="105"/>
      <c r="M27" s="105"/>
      <c r="N27" s="105"/>
      <c r="O27" s="167">
        <f>SUMIFS(O1:O23,B1:B23,"CLUSTER",C1:C23,"")</f>
        <v>6942</v>
      </c>
      <c r="P27" s="168"/>
      <c r="Q27" s="168"/>
      <c r="R27" s="169">
        <f t="shared" si="8"/>
        <v>0.74748660328435601</v>
      </c>
      <c r="S27" s="170">
        <f t="shared" si="9"/>
        <v>0.74016470044271321</v>
      </c>
      <c r="T27" s="168"/>
      <c r="U27" s="171"/>
      <c r="V27" s="172">
        <f>SUMIFS(V1:V24,B1:B24,"CLUSTER", C1:C24,"")</f>
        <v>5189.0519999999997</v>
      </c>
      <c r="W27" s="167">
        <f>SUMIFS(W1:W24,B1:B24,"CLUSTER", C1:C24,"")</f>
        <v>6715.41</v>
      </c>
      <c r="X27" s="173">
        <f>SUMIFS(X1:X24,B1:B24,"CLUSTER", C1:C24,"")</f>
        <v>4970.5094310000004</v>
      </c>
    </row>
    <row r="28" spans="1:34" x14ac:dyDescent="0.3">
      <c r="I28" s="43" t="s">
        <v>40</v>
      </c>
      <c r="O28" s="45">
        <f>SUMIFS(O2:O24,B2:B24,"CLUSTER",C2:C24,"power_loss")</f>
        <v>7470</v>
      </c>
      <c r="R28" s="165">
        <f t="shared" si="8"/>
        <v>0.74591084337349389</v>
      </c>
      <c r="S28" s="166">
        <f t="shared" si="9"/>
        <v>0.74591084337349389</v>
      </c>
      <c r="V28" s="44">
        <f>SUMIFS(V2:V24,B2:B24,"CLUSTER", C2:C24,"power_loss")</f>
        <v>5571.9539999999997</v>
      </c>
      <c r="W28" s="31">
        <f>SUMIFS(W2:W24,B2:B24,"CLUSTER", C2:C24,"power_loss")</f>
        <v>7470</v>
      </c>
      <c r="X28" s="47">
        <f>SUMIFS(X2:X24,B2:B24,"CLUSTER", C2:C24,"power_loss")</f>
        <v>5571.9539999999997</v>
      </c>
    </row>
    <row r="29" spans="1:34" x14ac:dyDescent="0.3">
      <c r="I29" s="43" t="s">
        <v>42</v>
      </c>
      <c r="O29" s="31">
        <f>SUMIFS(O2:O24,B2:B24,"CLUSTER",C2:C24,"min_loss")</f>
        <v>3726</v>
      </c>
      <c r="R29" s="165">
        <f t="shared" si="8"/>
        <v>0.75419999999999998</v>
      </c>
      <c r="S29" s="166">
        <f t="shared" si="9"/>
        <v>0.75419999999999998</v>
      </c>
      <c r="V29" s="35">
        <f>SUMIFS(V2:V24,B2:B24,"CLUSTER", C2:C24,"min_loss")</f>
        <v>2810.1491999999998</v>
      </c>
      <c r="W29" s="31">
        <f>SUMIFS(W2:W24,B2:B24,"CLUSTER", C2:C24,"min_loss")</f>
        <v>3726</v>
      </c>
      <c r="X29" s="47">
        <f>SUMIFS(X2:X24,B2:B24,"CLUSTER", C2:C24,"min_loss")</f>
        <v>2810.1491999999998</v>
      </c>
    </row>
    <row r="30" spans="1:34" x14ac:dyDescent="0.3">
      <c r="I30" s="43" t="s">
        <v>134</v>
      </c>
      <c r="O30" s="31">
        <f>SUMIFS(O2:O24,B2:B24,"CLUSTER",C2:C24,"sampling_nb")</f>
        <v>3840</v>
      </c>
      <c r="R30" s="165">
        <f t="shared" si="8"/>
        <v>0.75290000000000001</v>
      </c>
      <c r="S30" s="166">
        <f t="shared" si="9"/>
        <v>0.75290000000000001</v>
      </c>
      <c r="V30" s="35">
        <f>SUMIFS(V2:V24,B2:B24,"CLUSTER", C2:C24,"sampling_nb")</f>
        <v>2891.136</v>
      </c>
      <c r="W30" s="31">
        <f>SUMIFS(W2:W24,B2:B24,"CLUSTER", C2:C24,"sampling_nb")</f>
        <v>3840</v>
      </c>
      <c r="X30" s="47">
        <f>SUMIFS(X2:X24,B2:B24,"CLUSTER", C2:C24,"sampling_nb")</f>
        <v>2891.136</v>
      </c>
    </row>
    <row r="31" spans="1:34" x14ac:dyDescent="0.3">
      <c r="I31" s="48" t="s">
        <v>123</v>
      </c>
      <c r="J31" s="49"/>
      <c r="K31" s="49"/>
      <c r="L31" s="49"/>
      <c r="M31" s="49"/>
      <c r="N31" s="49"/>
      <c r="O31" s="53">
        <f>SUMIFS(O2:O24,B2:B24,"CLUSTER",C2:C24,"dist_power_hist")</f>
        <v>3918</v>
      </c>
      <c r="P31" s="50"/>
      <c r="Q31" s="50"/>
      <c r="R31" s="165">
        <f t="shared" si="8"/>
        <v>0.75880000000000003</v>
      </c>
      <c r="S31" s="166">
        <f t="shared" si="9"/>
        <v>0.74660000000000004</v>
      </c>
      <c r="T31" s="50"/>
      <c r="U31" s="51"/>
      <c r="V31" s="52">
        <f>SUMIFS(V2:V24,B2:B24,"CLUSTER", C2:C24,"dist_power_hist")</f>
        <v>2972.9784</v>
      </c>
      <c r="W31" s="53">
        <f>SUMIFS(W2:W24,B2:B24,"CLUSTER", C2:C24,"dist_power_hist")</f>
        <v>3690.7559999999999</v>
      </c>
      <c r="X31" s="54">
        <f>SUMIFS(X2:X24,B2:B24,"CLUSTER", C2:C24,"dist_power_hist")</f>
        <v>2755.5184296000002</v>
      </c>
    </row>
    <row r="32" spans="1:34" s="1" customFormat="1" x14ac:dyDescent="0.3">
      <c r="I32" s="55" t="s">
        <v>44</v>
      </c>
      <c r="J32" s="56"/>
      <c r="K32" s="56"/>
      <c r="L32" s="56"/>
      <c r="M32" s="56"/>
      <c r="N32" s="56"/>
      <c r="O32" s="64">
        <f>SUMIF(B1:B23,"NODE",O1:O23)</f>
        <v>47580</v>
      </c>
      <c r="P32" s="57"/>
      <c r="Q32" s="57"/>
      <c r="R32" s="164">
        <f t="shared" si="8"/>
        <v>0.8353681462799496</v>
      </c>
      <c r="S32" s="163">
        <f t="shared" si="9"/>
        <v>0.76918283782290586</v>
      </c>
      <c r="T32" s="57"/>
      <c r="U32" s="59"/>
      <c r="V32" s="63">
        <f>SUMIF(B1:B24,"NODE",V1:V24)</f>
        <v>39746.816400000003</v>
      </c>
      <c r="W32" s="64">
        <f>SUMIF(B1:B24,"NODE",W1:W24)</f>
        <v>32526.257999999998</v>
      </c>
      <c r="X32" s="65">
        <f>SUMIF(B1:B24,"NODE",X1:X24)</f>
        <v>25018.639432199994</v>
      </c>
    </row>
    <row r="33" spans="1:34" x14ac:dyDescent="0.3">
      <c r="I33" s="104" t="s">
        <v>45</v>
      </c>
      <c r="J33" s="105"/>
      <c r="K33" s="105"/>
      <c r="L33" s="105"/>
      <c r="M33" s="105"/>
      <c r="N33" s="105"/>
      <c r="O33" s="174">
        <f>SUMIFS(O1:O23,B1:B23,"NODE",C1:C23,"")</f>
        <v>6840</v>
      </c>
      <c r="P33" s="168"/>
      <c r="Q33" s="168"/>
      <c r="R33" s="169">
        <f t="shared" si="8"/>
        <v>0.83318736842105257</v>
      </c>
      <c r="S33" s="170">
        <f t="shared" si="9"/>
        <v>0.77290316270798931</v>
      </c>
      <c r="T33" s="168"/>
      <c r="U33" s="171"/>
      <c r="V33" s="175">
        <f>SUMIFS(V1:V24,B1:B24,"NODE", C1:C24,"")</f>
        <v>5699.0015999999996</v>
      </c>
      <c r="W33" s="174">
        <f>SUMIFS(W1:W24,B1:B24,"NODE", C1:C24,"")</f>
        <v>4534.848</v>
      </c>
      <c r="X33" s="176">
        <f>SUMIFS(X1:X24,B1:B24,"NODE", C1:C24,"")</f>
        <v>3504.9983616</v>
      </c>
    </row>
    <row r="34" spans="1:34" x14ac:dyDescent="0.3">
      <c r="I34" s="43" t="s">
        <v>46</v>
      </c>
      <c r="O34" s="31">
        <f>SUMIFS(O2:O24,B2:B24,"NODE",C2:C24,"power_loss")</f>
        <v>21678</v>
      </c>
      <c r="R34" s="177">
        <f t="shared" si="8"/>
        <v>0.85506282867423189</v>
      </c>
      <c r="S34" s="166">
        <f t="shared" si="9"/>
        <v>0.80054047410741125</v>
      </c>
      <c r="V34" s="35">
        <f>SUMIFS(V2:V24,B2:B24,"NODE", C2:C24,"power_loss")</f>
        <v>18536.052</v>
      </c>
      <c r="W34" s="31">
        <f>SUMIFS(W2:W24,B2:B24,"NODE", C2:C24,"power_loss")</f>
        <v>15752.885999999999</v>
      </c>
      <c r="X34" s="47">
        <f>SUMIFS(X2:X24,B2:B24,"NODE", C2:C24,"power_loss")</f>
        <v>12610.822827</v>
      </c>
    </row>
    <row r="35" spans="1:34" x14ac:dyDescent="0.3">
      <c r="I35" s="43" t="s">
        <v>47</v>
      </c>
      <c r="O35" s="31">
        <f>SUMIFS(O2:O24,B2:B24,"NODE",C2:C24,"min_loss")</f>
        <v>3726</v>
      </c>
      <c r="R35" s="165">
        <f t="shared" si="8"/>
        <v>0.88780000000000003</v>
      </c>
      <c r="S35" s="166">
        <f t="shared" si="9"/>
        <v>0.77559999999999985</v>
      </c>
      <c r="V35" s="35">
        <f>SUMIFS(V2:V24,B2:B24,"NODE", C2:C24,"min_loss")</f>
        <v>3307.9428000000003</v>
      </c>
      <c r="W35" s="31">
        <f>SUMIFS(W2:W24,B2:B24,"NODE", C2:C24,"min_loss")</f>
        <v>1863</v>
      </c>
      <c r="X35" s="47">
        <f>SUMIFS(X2:X24,B2:B24,"NODE", C2:C24,"min_loss")</f>
        <v>1444.9427999999998</v>
      </c>
    </row>
    <row r="36" spans="1:34" x14ac:dyDescent="0.3">
      <c r="I36" s="43" t="s">
        <v>133</v>
      </c>
      <c r="O36" s="31">
        <f>SUMIFS(O2:O24,B2:B24,"NODE",C2:C24,"sampling_nb")</f>
        <v>7572</v>
      </c>
      <c r="R36" s="165">
        <f t="shared" si="8"/>
        <v>0.78181664025356579</v>
      </c>
      <c r="S36" s="166">
        <f t="shared" si="9"/>
        <v>0.71132021215371932</v>
      </c>
      <c r="V36" s="35">
        <f>SUMIFS(V2:V24,B2:B24,"NODE", C2:C24,"sampling_nb")</f>
        <v>5919.9156000000003</v>
      </c>
      <c r="W36" s="31">
        <f>SUMIFS(W2:W24,B2:B24,"NODE", C2:C24,"sampling_nb")</f>
        <v>5212.8239999999996</v>
      </c>
      <c r="X36" s="47">
        <f>SUMIFS(X2:X24,B2:B24,"NODE", C2:C24,"sampling_nb")</f>
        <v>3707.9870735999993</v>
      </c>
    </row>
    <row r="37" spans="1:34" x14ac:dyDescent="0.3">
      <c r="I37" s="48" t="s">
        <v>124</v>
      </c>
      <c r="J37" s="49"/>
      <c r="K37" s="49"/>
      <c r="L37" s="49"/>
      <c r="M37" s="49"/>
      <c r="N37" s="49"/>
      <c r="O37" s="178">
        <f>SUMIFS(O2:O24,B2:B24,"NODE",C2:C24,"dist_power_hist")</f>
        <v>7764</v>
      </c>
      <c r="P37" s="50"/>
      <c r="Q37" s="50"/>
      <c r="R37" s="165">
        <f t="shared" si="8"/>
        <v>0.80936429675425037</v>
      </c>
      <c r="S37" s="166">
        <f t="shared" si="9"/>
        <v>0.72634248939508395</v>
      </c>
      <c r="T37" s="50"/>
      <c r="U37" s="51"/>
      <c r="V37" s="52">
        <f>SUMIFS(V2:V24,B2:B24,"NODE", C2:C24,"dist_power_hist")</f>
        <v>6283.9043999999994</v>
      </c>
      <c r="W37" s="53">
        <f>SUMIFS(W2:W24,B2:B24,"NODE", C2:C24,"dist_power_hist")</f>
        <v>5162.7</v>
      </c>
      <c r="X37" s="54">
        <f>SUMIFS(X2:X24,B2:B24,"NODE", C2:C24,"dist_power_hist")</f>
        <v>3749.8883699999997</v>
      </c>
    </row>
    <row r="38" spans="1:34" s="1" customFormat="1" x14ac:dyDescent="0.3">
      <c r="B38" s="24"/>
      <c r="O38" s="70"/>
      <c r="P38" s="5"/>
      <c r="Q38" s="5"/>
      <c r="R38" s="130"/>
      <c r="S38" s="132"/>
      <c r="T38" s="14"/>
      <c r="U38" s="7"/>
      <c r="V38" s="36"/>
      <c r="W38" s="32"/>
      <c r="X38" s="36"/>
    </row>
    <row r="39" spans="1:34" x14ac:dyDescent="0.3">
      <c r="B39" s="1"/>
      <c r="C39" s="1"/>
      <c r="R39" s="130"/>
      <c r="S39" s="133"/>
    </row>
    <row r="40" spans="1:34" x14ac:dyDescent="0.3">
      <c r="B40" s="1"/>
      <c r="C40" s="1"/>
      <c r="R40" s="130"/>
      <c r="S40" s="133"/>
    </row>
    <row r="41" spans="1:34" ht="43.2" x14ac:dyDescent="0.3">
      <c r="A41" s="225" t="s">
        <v>4</v>
      </c>
      <c r="B41" s="225" t="s">
        <v>5</v>
      </c>
      <c r="C41" s="225" t="s">
        <v>93</v>
      </c>
      <c r="D41" s="225" t="s">
        <v>6</v>
      </c>
      <c r="E41" s="225" t="s">
        <v>94</v>
      </c>
      <c r="F41" s="225" t="s">
        <v>136</v>
      </c>
      <c r="G41" s="225" t="s">
        <v>137</v>
      </c>
      <c r="H41" s="226" t="s">
        <v>7</v>
      </c>
      <c r="I41" s="226" t="s">
        <v>8</v>
      </c>
      <c r="J41" s="226" t="s">
        <v>9</v>
      </c>
      <c r="K41" s="226" t="s">
        <v>10</v>
      </c>
      <c r="L41" s="226" t="s">
        <v>11</v>
      </c>
      <c r="M41" s="226" t="s">
        <v>12</v>
      </c>
      <c r="N41" s="226" t="s">
        <v>13</v>
      </c>
      <c r="O41" s="238" t="s">
        <v>96</v>
      </c>
      <c r="R41" s="234" t="s">
        <v>95</v>
      </c>
      <c r="S41" s="235" t="s">
        <v>138</v>
      </c>
      <c r="T41" s="225" t="s">
        <v>141</v>
      </c>
      <c r="U41" s="6" t="s">
        <v>22</v>
      </c>
      <c r="V41" s="225" t="s">
        <v>75</v>
      </c>
      <c r="W41" s="225" t="s">
        <v>139</v>
      </c>
      <c r="X41" s="225" t="s">
        <v>92</v>
      </c>
      <c r="Y41" s="225" t="s">
        <v>140</v>
      </c>
      <c r="AA41" s="225" t="s">
        <v>142</v>
      </c>
      <c r="AC41" s="226" t="s">
        <v>8</v>
      </c>
      <c r="AD41" s="226" t="s">
        <v>9</v>
      </c>
      <c r="AE41" s="226" t="s">
        <v>10</v>
      </c>
      <c r="AF41" s="226" t="s">
        <v>11</v>
      </c>
      <c r="AG41" s="226" t="s">
        <v>12</v>
      </c>
      <c r="AH41" s="226" t="s">
        <v>13</v>
      </c>
    </row>
    <row r="42" spans="1:34" s="66" customFormat="1" x14ac:dyDescent="0.3">
      <c r="A42" s="158" t="s">
        <v>0</v>
      </c>
      <c r="B42" s="158" t="s">
        <v>1</v>
      </c>
      <c r="C42" s="158" t="s">
        <v>2</v>
      </c>
      <c r="D42" s="158" t="s">
        <v>3</v>
      </c>
      <c r="E42" s="159">
        <v>45685</v>
      </c>
      <c r="F42" s="158">
        <v>18</v>
      </c>
      <c r="G42" s="158" t="s">
        <v>104</v>
      </c>
      <c r="H42" s="160">
        <v>0.1069</v>
      </c>
      <c r="I42" s="160">
        <v>0.29509999999999997</v>
      </c>
      <c r="J42" s="160">
        <v>0.35170000000000001</v>
      </c>
      <c r="K42" s="160">
        <v>0.17560000000000001</v>
      </c>
      <c r="L42" s="160">
        <v>3.6299999999999999E-2</v>
      </c>
      <c r="M42" s="160">
        <v>1.9099999999999999E-2</v>
      </c>
      <c r="N42" s="160">
        <v>1.52E-2</v>
      </c>
      <c r="O42" s="85">
        <v>3468</v>
      </c>
      <c r="R42" s="233">
        <v>0.74860000000000004</v>
      </c>
      <c r="S42" s="92">
        <v>0.74860000000000004</v>
      </c>
      <c r="T42" s="85">
        <v>0.27</v>
      </c>
      <c r="U42" s="230">
        <v>0</v>
      </c>
      <c r="V42" s="85">
        <v>0</v>
      </c>
      <c r="W42" s="85">
        <v>0.84</v>
      </c>
      <c r="X42" s="160">
        <v>0.55591999999999997</v>
      </c>
      <c r="Y42" s="160">
        <v>0.55591999999999997</v>
      </c>
      <c r="AA42" s="85">
        <v>9.9000000000000005E-2</v>
      </c>
      <c r="AC42" s="85"/>
      <c r="AD42" s="85"/>
      <c r="AE42" s="85"/>
      <c r="AF42" s="85"/>
      <c r="AG42" s="85"/>
      <c r="AH42" s="85"/>
    </row>
    <row r="43" spans="1:34" s="66" customFormat="1" x14ac:dyDescent="0.3">
      <c r="A43" s="158" t="s">
        <v>0</v>
      </c>
      <c r="B43" s="158" t="s">
        <v>1</v>
      </c>
      <c r="C43" s="158" t="s">
        <v>2</v>
      </c>
      <c r="D43" s="158" t="s">
        <v>3</v>
      </c>
      <c r="E43" s="159">
        <v>45685</v>
      </c>
      <c r="F43" s="158">
        <v>18</v>
      </c>
      <c r="G43" s="158" t="s">
        <v>104</v>
      </c>
      <c r="H43" s="160">
        <v>0.1071</v>
      </c>
      <c r="I43" s="160">
        <v>0.29509999999999997</v>
      </c>
      <c r="J43" s="160">
        <v>0.35160000000000002</v>
      </c>
      <c r="K43" s="160">
        <v>0.17549999999999999</v>
      </c>
      <c r="L43" s="160">
        <v>3.6299999999999999E-2</v>
      </c>
      <c r="M43" s="160">
        <v>1.9099999999999999E-2</v>
      </c>
      <c r="N43" s="160">
        <v>1.52E-2</v>
      </c>
      <c r="O43" s="85">
        <v>3438</v>
      </c>
      <c r="R43" s="233">
        <v>0.74609999999999999</v>
      </c>
      <c r="S43" s="92">
        <v>0.74609999999999999</v>
      </c>
      <c r="T43" s="85">
        <v>0.28199999999999997</v>
      </c>
      <c r="U43" s="230">
        <v>0</v>
      </c>
      <c r="V43" s="85">
        <v>0</v>
      </c>
      <c r="W43" s="85">
        <v>0.82899999999999996</v>
      </c>
      <c r="X43" s="160">
        <v>0.56323999999999996</v>
      </c>
      <c r="Y43" s="160">
        <v>0.56323999999999996</v>
      </c>
      <c r="AA43" s="85">
        <v>0.104</v>
      </c>
      <c r="AC43" s="85"/>
      <c r="AD43" s="85"/>
      <c r="AE43" s="85"/>
      <c r="AF43" s="85"/>
      <c r="AG43" s="85"/>
      <c r="AH43" s="85"/>
    </row>
    <row r="44" spans="1:34" s="66" customFormat="1" x14ac:dyDescent="0.3">
      <c r="A44" s="158" t="s">
        <v>0</v>
      </c>
      <c r="B44" s="158" t="s">
        <v>1</v>
      </c>
      <c r="C44" s="158" t="s">
        <v>2</v>
      </c>
      <c r="D44" s="158" t="s">
        <v>3</v>
      </c>
      <c r="E44" s="159">
        <v>45686</v>
      </c>
      <c r="F44" s="158">
        <v>18</v>
      </c>
      <c r="G44" s="158" t="s">
        <v>104</v>
      </c>
      <c r="H44" s="160">
        <v>0.1134</v>
      </c>
      <c r="I44" s="160">
        <v>0.30009999999999998</v>
      </c>
      <c r="J44" s="160">
        <v>0.35670000000000002</v>
      </c>
      <c r="K44" s="160">
        <v>0.17699999999999999</v>
      </c>
      <c r="L44" s="160">
        <v>2.29E-2</v>
      </c>
      <c r="M44" s="160">
        <v>1.67E-2</v>
      </c>
      <c r="N44" s="160">
        <v>1.32E-2</v>
      </c>
      <c r="O44" s="85">
        <v>3888</v>
      </c>
      <c r="R44" s="91">
        <v>0.751</v>
      </c>
      <c r="S44" s="92">
        <v>0.751</v>
      </c>
      <c r="T44" s="85">
        <v>0.24399999999999999</v>
      </c>
      <c r="U44" s="230">
        <v>0</v>
      </c>
      <c r="V44" s="85">
        <v>0</v>
      </c>
      <c r="W44" s="85">
        <v>0.80900000000000005</v>
      </c>
      <c r="X44" s="160">
        <v>0.56230000000000002</v>
      </c>
      <c r="Y44" s="160">
        <v>0.56230000000000002</v>
      </c>
      <c r="AA44" s="85">
        <v>8.7999999999999995E-2</v>
      </c>
      <c r="AC44" s="85"/>
      <c r="AD44" s="85"/>
      <c r="AE44" s="85"/>
      <c r="AF44" s="85"/>
      <c r="AG44" s="85"/>
      <c r="AH44" s="85"/>
    </row>
    <row r="45" spans="1:34" s="66" customFormat="1" x14ac:dyDescent="0.3">
      <c r="A45" s="158" t="s">
        <v>0</v>
      </c>
      <c r="B45" s="158" t="s">
        <v>1</v>
      </c>
      <c r="C45" s="158" t="s">
        <v>2</v>
      </c>
      <c r="D45" s="158" t="s">
        <v>3</v>
      </c>
      <c r="E45" s="159">
        <v>45686</v>
      </c>
      <c r="F45" s="158">
        <v>18</v>
      </c>
      <c r="G45" s="158" t="s">
        <v>104</v>
      </c>
      <c r="H45" s="160">
        <v>0.1124</v>
      </c>
      <c r="I45" s="160">
        <v>0.30059999999999998</v>
      </c>
      <c r="J45" s="160">
        <v>0.35649999999999998</v>
      </c>
      <c r="K45" s="160">
        <v>0.1772</v>
      </c>
      <c r="L45" s="160">
        <v>2.3099999999999999E-2</v>
      </c>
      <c r="M45" s="160">
        <v>1.6899999999999998E-2</v>
      </c>
      <c r="N45" s="160">
        <v>1.34E-2</v>
      </c>
      <c r="O45" s="85">
        <v>3876</v>
      </c>
      <c r="R45" s="91">
        <v>0.74380000000000002</v>
      </c>
      <c r="S45" s="92">
        <v>0.74380000000000002</v>
      </c>
      <c r="T45" s="85">
        <v>0.26400000000000001</v>
      </c>
      <c r="U45" s="230">
        <v>0</v>
      </c>
      <c r="V45" s="85">
        <v>0</v>
      </c>
      <c r="W45" s="85">
        <v>0.81499999999999995</v>
      </c>
      <c r="X45" s="160">
        <v>0.56384999999999996</v>
      </c>
      <c r="Y45" s="160">
        <v>0.56384999999999996</v>
      </c>
      <c r="AA45" s="85">
        <v>9.7000000000000003E-2</v>
      </c>
      <c r="AC45" s="85"/>
      <c r="AD45" s="85"/>
      <c r="AE45" s="85"/>
      <c r="AF45" s="85"/>
      <c r="AG45" s="85"/>
      <c r="AH45" s="85"/>
    </row>
    <row r="46" spans="1:34" s="66" customFormat="1" x14ac:dyDescent="0.3">
      <c r="A46" s="158" t="s">
        <v>0</v>
      </c>
      <c r="B46" s="158" t="s">
        <v>14</v>
      </c>
      <c r="C46" s="158" t="s">
        <v>2</v>
      </c>
      <c r="D46" s="158" t="s">
        <v>3</v>
      </c>
      <c r="E46" s="159">
        <v>45686</v>
      </c>
      <c r="F46" s="158">
        <v>18</v>
      </c>
      <c r="G46" s="158" t="s">
        <v>104</v>
      </c>
      <c r="H46" s="160">
        <v>0.12740000000000001</v>
      </c>
      <c r="I46" s="160">
        <v>0.3508</v>
      </c>
      <c r="J46" s="160">
        <v>0.33129999999999998</v>
      </c>
      <c r="K46" s="160">
        <v>0.1699</v>
      </c>
      <c r="L46" s="160">
        <v>1.47E-2</v>
      </c>
      <c r="M46" s="160">
        <v>3.3999999999999998E-3</v>
      </c>
      <c r="N46" s="160">
        <v>2.5000000000000001E-3</v>
      </c>
      <c r="O46" s="85">
        <v>3876</v>
      </c>
      <c r="R46" s="91">
        <v>0.76729999999999998</v>
      </c>
      <c r="S46" s="92">
        <v>0.76729999999999998</v>
      </c>
      <c r="T46" s="85">
        <v>0.24</v>
      </c>
      <c r="U46" s="230">
        <v>0</v>
      </c>
      <c r="V46" s="85">
        <v>0</v>
      </c>
      <c r="W46" s="85">
        <v>0.69499999999999995</v>
      </c>
      <c r="X46" s="160">
        <v>0.62228000000000006</v>
      </c>
      <c r="Y46" s="160">
        <v>0.62228000000000006</v>
      </c>
      <c r="AA46" s="85">
        <v>8.5999999999999993E-2</v>
      </c>
      <c r="AC46" s="85"/>
      <c r="AD46" s="85"/>
      <c r="AE46" s="85"/>
      <c r="AF46" s="85"/>
      <c r="AG46" s="85"/>
      <c r="AH46" s="85"/>
    </row>
    <row r="47" spans="1:34" s="66" customFormat="1" x14ac:dyDescent="0.3">
      <c r="A47" s="158" t="s">
        <v>0</v>
      </c>
      <c r="B47" s="158" t="s">
        <v>14</v>
      </c>
      <c r="C47" s="158" t="s">
        <v>2</v>
      </c>
      <c r="D47" s="158" t="s">
        <v>3</v>
      </c>
      <c r="E47" s="159">
        <v>45686</v>
      </c>
      <c r="F47" s="158">
        <v>18</v>
      </c>
      <c r="G47" s="158" t="s">
        <v>104</v>
      </c>
      <c r="H47" s="160">
        <v>0.62760000000000005</v>
      </c>
      <c r="I47" s="160">
        <v>0.2099</v>
      </c>
      <c r="J47" s="160">
        <v>0.12039999999999999</v>
      </c>
      <c r="K47" s="160">
        <v>2.8299999999999999E-2</v>
      </c>
      <c r="L47" s="160">
        <v>7.9000000000000008E-3</v>
      </c>
      <c r="M47" s="160">
        <v>3.3999999999999998E-3</v>
      </c>
      <c r="N47" s="160">
        <v>2.5000000000000001E-3</v>
      </c>
      <c r="O47" s="85">
        <v>3888</v>
      </c>
      <c r="R47" s="91">
        <v>0.91900000000000004</v>
      </c>
      <c r="S47" s="92">
        <v>0.75690000000000002</v>
      </c>
      <c r="T47" s="85">
        <v>0</v>
      </c>
      <c r="U47" s="230">
        <v>0.66700000000000004</v>
      </c>
      <c r="V47" s="85">
        <v>0</v>
      </c>
      <c r="W47" s="85">
        <v>0.23400000000000001</v>
      </c>
      <c r="X47" s="160">
        <v>0.83286000000000004</v>
      </c>
      <c r="Y47" s="160">
        <v>0.62473000000000001</v>
      </c>
      <c r="AA47" s="85">
        <v>0</v>
      </c>
      <c r="AC47" s="85"/>
      <c r="AD47" s="85"/>
      <c r="AE47" s="85"/>
      <c r="AF47" s="85"/>
      <c r="AG47" s="85"/>
      <c r="AH47" s="85"/>
    </row>
    <row r="48" spans="1:34" s="66" customFormat="1" x14ac:dyDescent="0.3">
      <c r="A48" s="158" t="s">
        <v>0</v>
      </c>
      <c r="B48" s="158" t="s">
        <v>1</v>
      </c>
      <c r="C48" s="158" t="s">
        <v>135</v>
      </c>
      <c r="D48" s="158" t="s">
        <v>3</v>
      </c>
      <c r="E48" s="159">
        <v>45686</v>
      </c>
      <c r="F48" s="158">
        <v>18</v>
      </c>
      <c r="G48" s="158" t="s">
        <v>104</v>
      </c>
      <c r="H48" s="160">
        <v>0.1114</v>
      </c>
      <c r="I48" s="160">
        <v>0.2994</v>
      </c>
      <c r="J48" s="160">
        <v>0.35299999999999998</v>
      </c>
      <c r="K48" s="160">
        <v>0.1714</v>
      </c>
      <c r="L48" s="160">
        <v>3.3799999999999997E-2</v>
      </c>
      <c r="M48" s="160">
        <v>1.7399999999999999E-2</v>
      </c>
      <c r="N48" s="160">
        <v>1.3599999999999999E-2</v>
      </c>
      <c r="O48" s="85">
        <v>3732</v>
      </c>
      <c r="R48" s="91">
        <v>0.74729999999999996</v>
      </c>
      <c r="S48" s="92">
        <v>0.73370000000000002</v>
      </c>
      <c r="T48" s="85">
        <v>0.26300000000000001</v>
      </c>
      <c r="U48" s="230">
        <v>6.0999999999999999E-2</v>
      </c>
      <c r="V48" s="85">
        <v>0</v>
      </c>
      <c r="W48" s="85">
        <v>0.83</v>
      </c>
      <c r="X48" s="160">
        <v>0.56201000000000001</v>
      </c>
      <c r="Y48" s="160">
        <v>0.55925999999999998</v>
      </c>
      <c r="AA48" s="85">
        <v>9.8000000000000004E-2</v>
      </c>
      <c r="AC48" s="85"/>
      <c r="AD48" s="85"/>
      <c r="AE48" s="85"/>
      <c r="AF48" s="85"/>
      <c r="AG48" s="85"/>
      <c r="AH48" s="85"/>
    </row>
    <row r="49" spans="1:34" s="66" customFormat="1" x14ac:dyDescent="0.3">
      <c r="A49" s="158" t="s">
        <v>0</v>
      </c>
      <c r="B49" s="158" t="s">
        <v>1</v>
      </c>
      <c r="C49" s="158" t="s">
        <v>135</v>
      </c>
      <c r="D49" s="158" t="s">
        <v>3</v>
      </c>
      <c r="E49" s="159">
        <v>45686</v>
      </c>
      <c r="F49" s="158">
        <v>18</v>
      </c>
      <c r="G49" s="158" t="s">
        <v>104</v>
      </c>
      <c r="H49" s="160">
        <v>0.1108</v>
      </c>
      <c r="I49" s="160">
        <v>0.29970000000000002</v>
      </c>
      <c r="J49" s="160">
        <v>0.35320000000000001</v>
      </c>
      <c r="K49" s="160">
        <v>0.1711</v>
      </c>
      <c r="L49" s="160">
        <v>3.39E-2</v>
      </c>
      <c r="M49" s="160">
        <v>1.7500000000000002E-2</v>
      </c>
      <c r="N49" s="160">
        <v>1.38E-2</v>
      </c>
      <c r="O49" s="85">
        <v>3708</v>
      </c>
      <c r="R49" s="91">
        <v>0.74080000000000001</v>
      </c>
      <c r="S49" s="92">
        <v>0.74080000000000001</v>
      </c>
      <c r="T49" s="85">
        <v>0.29199999999999998</v>
      </c>
      <c r="U49" s="230">
        <v>0</v>
      </c>
      <c r="V49" s="85">
        <v>0</v>
      </c>
      <c r="W49" s="85">
        <v>0.83799999999999997</v>
      </c>
      <c r="X49" s="160">
        <v>0.56030999999999997</v>
      </c>
      <c r="Y49" s="160">
        <v>0.56030999999999997</v>
      </c>
      <c r="AA49" s="85">
        <v>0.11</v>
      </c>
      <c r="AC49" s="85"/>
      <c r="AD49" s="85"/>
      <c r="AE49" s="85"/>
      <c r="AF49" s="85"/>
      <c r="AG49" s="85"/>
      <c r="AH49" s="85"/>
    </row>
    <row r="50" spans="1:34" s="66" customFormat="1" x14ac:dyDescent="0.3">
      <c r="A50" s="158" t="s">
        <v>0</v>
      </c>
      <c r="B50" s="158" t="s">
        <v>14</v>
      </c>
      <c r="C50" s="158" t="s">
        <v>135</v>
      </c>
      <c r="D50" s="158" t="s">
        <v>3</v>
      </c>
      <c r="E50" s="159">
        <v>45686</v>
      </c>
      <c r="F50" s="158">
        <v>18</v>
      </c>
      <c r="G50" s="158" t="s">
        <v>104</v>
      </c>
      <c r="H50" s="160">
        <v>0.59089999999999998</v>
      </c>
      <c r="I50" s="160">
        <v>0.2228</v>
      </c>
      <c r="J50" s="160">
        <v>0.1305</v>
      </c>
      <c r="K50" s="160">
        <v>4.2599999999999999E-2</v>
      </c>
      <c r="L50" s="160">
        <v>7.9000000000000008E-3</v>
      </c>
      <c r="M50" s="160">
        <v>3.0000000000000001E-3</v>
      </c>
      <c r="N50" s="160">
        <v>2.3E-3</v>
      </c>
      <c r="O50" s="85">
        <v>3732</v>
      </c>
      <c r="R50" s="91">
        <v>0.93030000000000002</v>
      </c>
      <c r="S50" s="92">
        <v>0.83499999999999996</v>
      </c>
      <c r="T50" s="85">
        <v>6.0000000000000001E-3</v>
      </c>
      <c r="U50" s="230">
        <v>0.622</v>
      </c>
      <c r="V50" s="85">
        <v>0</v>
      </c>
      <c r="W50" s="85">
        <v>0.28799999999999998</v>
      </c>
      <c r="X50" s="160">
        <v>0.78102000000000005</v>
      </c>
      <c r="Y50" s="160">
        <v>0.66054000000000002</v>
      </c>
      <c r="AA50" s="85">
        <v>2E-3</v>
      </c>
      <c r="AC50" s="85"/>
      <c r="AD50" s="85"/>
      <c r="AE50" s="85"/>
      <c r="AF50" s="85"/>
      <c r="AG50" s="85"/>
      <c r="AH50" s="85"/>
    </row>
    <row r="51" spans="1:34" s="66" customFormat="1" x14ac:dyDescent="0.3">
      <c r="A51" s="158" t="s">
        <v>0</v>
      </c>
      <c r="B51" s="158" t="s">
        <v>14</v>
      </c>
      <c r="C51" s="158" t="s">
        <v>135</v>
      </c>
      <c r="D51" s="158" t="s">
        <v>3</v>
      </c>
      <c r="E51" s="159">
        <v>45686</v>
      </c>
      <c r="F51" s="158">
        <v>18</v>
      </c>
      <c r="G51" s="158" t="s">
        <v>104</v>
      </c>
      <c r="H51" s="160">
        <v>0.27529999999999999</v>
      </c>
      <c r="I51" s="160">
        <v>0.31630000000000003</v>
      </c>
      <c r="J51" s="160">
        <v>0.27700000000000002</v>
      </c>
      <c r="K51" s="160">
        <v>0.1163</v>
      </c>
      <c r="L51" s="160">
        <v>9.9000000000000008E-3</v>
      </c>
      <c r="M51" s="160">
        <v>3.0000000000000001E-3</v>
      </c>
      <c r="N51" s="160">
        <v>2.3E-3</v>
      </c>
      <c r="O51" s="85">
        <v>3708</v>
      </c>
      <c r="R51" s="91">
        <v>0.69010000000000005</v>
      </c>
      <c r="S51" s="92">
        <v>0.69010000000000005</v>
      </c>
      <c r="T51" s="85">
        <v>0.27100000000000002</v>
      </c>
      <c r="U51" s="230">
        <v>0</v>
      </c>
      <c r="V51" s="85">
        <v>0</v>
      </c>
      <c r="W51" s="85">
        <v>0.90100000000000002</v>
      </c>
      <c r="X51" s="160">
        <v>0.56399999999999995</v>
      </c>
      <c r="Y51" s="160">
        <v>0.56399999999999995</v>
      </c>
      <c r="AA51" s="85">
        <v>0.1</v>
      </c>
      <c r="AC51" s="85"/>
      <c r="AD51" s="85"/>
      <c r="AE51" s="85"/>
      <c r="AF51" s="85"/>
      <c r="AG51" s="85"/>
      <c r="AH51" s="85"/>
    </row>
  </sheetData>
  <autoFilter ref="A1:F13" xr:uid="{00000000-0001-0000-0000-000000000000}">
    <filterColumn colId="2">
      <filters>
        <filter val="min_loss"/>
      </filters>
    </filterColumn>
  </autoFilter>
  <conditionalFormatting sqref="R27:R31">
    <cfRule type="colorScale" priority="5">
      <colorScale>
        <cfvo type="min"/>
        <cfvo type="max"/>
        <color rgb="FFFF7128"/>
        <color rgb="FF92D050"/>
      </colorScale>
    </cfRule>
  </conditionalFormatting>
  <conditionalFormatting sqref="R33:R37">
    <cfRule type="colorScale" priority="4">
      <colorScale>
        <cfvo type="min"/>
        <cfvo type="max"/>
        <color rgb="FFFF7128"/>
        <color rgb="FF92D050"/>
      </colorScale>
    </cfRule>
  </conditionalFormatting>
  <conditionalFormatting sqref="S27:S31">
    <cfRule type="colorScale" priority="3">
      <colorScale>
        <cfvo type="min"/>
        <cfvo type="max"/>
        <color rgb="FFFF7128"/>
        <color rgb="FF92D050"/>
      </colorScale>
    </cfRule>
  </conditionalFormatting>
  <conditionalFormatting sqref="S33:S37">
    <cfRule type="colorScale" priority="2">
      <colorScale>
        <cfvo type="min"/>
        <cfvo type="max"/>
        <color rgb="FFFF7128"/>
        <color rgb="FF92D050"/>
      </colorScale>
    </cfRule>
  </conditionalFormatting>
  <conditionalFormatting sqref="U1">
    <cfRule type="cellIs" dxfId="6" priority="6" operator="greaterThan">
      <formula>0</formula>
    </cfRule>
  </conditionalFormatting>
  <conditionalFormatting sqref="U23:U41">
    <cfRule type="cellIs" dxfId="5" priority="1" operator="greaterThan">
      <formula>0</formula>
    </cfRule>
  </conditionalFormatting>
  <conditionalFormatting sqref="U52:U1048576">
    <cfRule type="cellIs" dxfId="4" priority="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EDA3-8F41-4BD6-9D28-CA9EF01A68F1}">
  <dimension ref="A1:AH49"/>
  <sheetViews>
    <sheetView topLeftCell="C21" zoomScale="115" zoomScaleNormal="115" workbookViewId="0">
      <selection activeCell="E33" sqref="E33"/>
    </sheetView>
  </sheetViews>
  <sheetFormatPr defaultRowHeight="14.4" x14ac:dyDescent="0.3"/>
  <cols>
    <col min="1" max="1" width="18.77734375" customWidth="1"/>
    <col min="2" max="2" width="25.109375" customWidth="1"/>
    <col min="3" max="3" width="18.77734375" customWidth="1"/>
    <col min="5" max="5" width="15.6640625" customWidth="1"/>
    <col min="7" max="7" width="19.88671875" customWidth="1"/>
    <col min="10" max="10" width="11.109375" customWidth="1"/>
    <col min="16" max="16" width="6.5546875" customWidth="1"/>
    <col min="17" max="17" width="2.77734375" customWidth="1"/>
    <col min="22" max="22" width="10" customWidth="1"/>
    <col min="24" max="24" width="10.33203125" customWidth="1"/>
  </cols>
  <sheetData>
    <row r="1" spans="1:34" s="18" customFormat="1" ht="28.8" x14ac:dyDescent="0.3">
      <c r="A1" s="18" t="s">
        <v>4</v>
      </c>
      <c r="B1" s="18" t="s">
        <v>5</v>
      </c>
      <c r="C1" s="18" t="s">
        <v>18</v>
      </c>
      <c r="D1" s="19" t="s">
        <v>6</v>
      </c>
      <c r="E1" s="19" t="s">
        <v>19</v>
      </c>
      <c r="F1" s="19" t="s">
        <v>48</v>
      </c>
      <c r="G1" s="19"/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29" t="s">
        <v>96</v>
      </c>
      <c r="P1" s="19" t="s">
        <v>75</v>
      </c>
      <c r="Q1" s="19" t="s">
        <v>20</v>
      </c>
      <c r="R1" s="91" t="s">
        <v>36</v>
      </c>
      <c r="S1" s="92" t="s">
        <v>35</v>
      </c>
      <c r="T1" s="4" t="s">
        <v>21</v>
      </c>
      <c r="U1" s="6" t="s">
        <v>22</v>
      </c>
      <c r="V1" s="33" t="s">
        <v>37</v>
      </c>
      <c r="W1" s="29" t="s">
        <v>74</v>
      </c>
      <c r="X1" s="33" t="s">
        <v>38</v>
      </c>
    </row>
    <row r="2" spans="1:34" s="13" customFormat="1" x14ac:dyDescent="0.3">
      <c r="A2" s="83" t="s">
        <v>0</v>
      </c>
      <c r="B2" s="83" t="s">
        <v>14</v>
      </c>
      <c r="C2" s="83" t="s">
        <v>2</v>
      </c>
      <c r="D2" s="83" t="s">
        <v>3</v>
      </c>
      <c r="E2" s="84">
        <v>45506</v>
      </c>
      <c r="F2" s="83">
        <v>18</v>
      </c>
      <c r="G2" s="83" t="s">
        <v>104</v>
      </c>
      <c r="H2" s="112">
        <v>0.64380000000000004</v>
      </c>
      <c r="I2" s="112">
        <v>0.21010000000000001</v>
      </c>
      <c r="J2" s="112">
        <v>0.1024</v>
      </c>
      <c r="K2" s="112">
        <v>2.6599999999999999E-2</v>
      </c>
      <c r="L2" s="112">
        <v>9.9000000000000008E-3</v>
      </c>
      <c r="M2" s="112">
        <v>4.1999999999999997E-3</v>
      </c>
      <c r="N2" s="112">
        <v>3.0000000000000001E-3</v>
      </c>
      <c r="O2" s="134">
        <v>3666</v>
      </c>
      <c r="P2" s="77"/>
      <c r="Q2" s="77"/>
      <c r="R2" s="87">
        <v>0.93149999999999999</v>
      </c>
      <c r="S2" s="88">
        <v>0.86309999999999998</v>
      </c>
      <c r="T2" s="110">
        <v>3.2000000000000001E-2</v>
      </c>
      <c r="U2" s="212">
        <v>0.5</v>
      </c>
      <c r="V2" s="34">
        <f t="shared" ref="V2:V19" si="0">O2*R2</f>
        <v>3414.8789999999999</v>
      </c>
      <c r="W2" s="30">
        <f t="shared" ref="W2:W19" si="1">O2*(1-U2)</f>
        <v>1833</v>
      </c>
      <c r="X2" s="34">
        <f t="shared" ref="X2:X19" si="2">S2*W2</f>
        <v>1582.0623000000001</v>
      </c>
      <c r="Y2" s="110"/>
      <c r="Z2" s="110"/>
      <c r="AA2" s="77"/>
      <c r="AB2" s="77"/>
      <c r="AC2" s="77"/>
    </row>
    <row r="3" spans="1:34" s="13" customFormat="1" x14ac:dyDescent="0.3">
      <c r="A3" s="83" t="s">
        <v>0</v>
      </c>
      <c r="B3" s="83" t="s">
        <v>14</v>
      </c>
      <c r="C3" s="83" t="s">
        <v>2</v>
      </c>
      <c r="D3" s="83" t="s">
        <v>3</v>
      </c>
      <c r="E3" s="84">
        <v>45506</v>
      </c>
      <c r="F3" s="83">
        <v>18</v>
      </c>
      <c r="G3" s="83" t="s">
        <v>104</v>
      </c>
      <c r="H3" s="112">
        <v>0.14380000000000001</v>
      </c>
      <c r="I3" s="112">
        <v>0.35039999999999999</v>
      </c>
      <c r="J3" s="112">
        <v>0.3115</v>
      </c>
      <c r="K3" s="112">
        <v>0.17050000000000001</v>
      </c>
      <c r="L3" s="112">
        <v>1.66E-2</v>
      </c>
      <c r="M3" s="112">
        <v>4.1999999999999997E-3</v>
      </c>
      <c r="N3" s="112">
        <v>3.0000000000000001E-3</v>
      </c>
      <c r="O3" s="134">
        <v>3558</v>
      </c>
      <c r="P3" s="77"/>
      <c r="Q3" s="77"/>
      <c r="R3" s="87">
        <v>0.77969999999999995</v>
      </c>
      <c r="S3" s="88">
        <v>0.76529999999999998</v>
      </c>
      <c r="T3" s="110">
        <v>0.245</v>
      </c>
      <c r="U3" s="212">
        <v>6.0999999999999999E-2</v>
      </c>
      <c r="V3" s="34">
        <f t="shared" si="0"/>
        <v>2774.1725999999999</v>
      </c>
      <c r="W3" s="30">
        <f t="shared" si="1"/>
        <v>3340.962</v>
      </c>
      <c r="X3" s="34">
        <f t="shared" si="2"/>
        <v>2556.8382185999999</v>
      </c>
      <c r="Y3" s="110"/>
      <c r="Z3" s="110"/>
      <c r="AA3" s="77"/>
      <c r="AB3" s="77"/>
      <c r="AC3" s="77"/>
    </row>
    <row r="4" spans="1:34" s="13" customFormat="1" x14ac:dyDescent="0.3">
      <c r="A4" s="83" t="s">
        <v>0</v>
      </c>
      <c r="B4" s="83" t="s">
        <v>14</v>
      </c>
      <c r="C4" s="83" t="s">
        <v>2</v>
      </c>
      <c r="D4" s="83" t="s">
        <v>3</v>
      </c>
      <c r="E4" s="84">
        <v>45516</v>
      </c>
      <c r="F4" s="83">
        <v>18</v>
      </c>
      <c r="G4" s="83" t="s">
        <v>104</v>
      </c>
      <c r="H4" s="112">
        <v>0.64370000000000005</v>
      </c>
      <c r="I4" s="112">
        <v>0.2019</v>
      </c>
      <c r="J4" s="112">
        <v>0.10150000000000001</v>
      </c>
      <c r="K4" s="112">
        <v>3.1699999999999999E-2</v>
      </c>
      <c r="L4" s="112">
        <v>1.24E-2</v>
      </c>
      <c r="M4" s="112">
        <v>5.1999999999999998E-3</v>
      </c>
      <c r="N4" s="112">
        <v>3.7000000000000002E-3</v>
      </c>
      <c r="O4" s="134">
        <v>3486</v>
      </c>
      <c r="P4" s="77"/>
      <c r="Q4" s="77"/>
      <c r="R4" s="87">
        <v>0.92800000000000005</v>
      </c>
      <c r="S4" s="88">
        <v>0.83409999999999995</v>
      </c>
      <c r="T4" s="77">
        <v>1.6E-2</v>
      </c>
      <c r="U4" s="212">
        <v>0.56599999999999995</v>
      </c>
      <c r="V4" s="34">
        <f t="shared" si="0"/>
        <v>3235.0080000000003</v>
      </c>
      <c r="W4" s="30">
        <f t="shared" si="1"/>
        <v>1512.9240000000002</v>
      </c>
      <c r="X4" s="34">
        <f t="shared" si="2"/>
        <v>1261.9299084000002</v>
      </c>
      <c r="Y4" s="77"/>
      <c r="Z4" s="112">
        <v>0.82699999999999996</v>
      </c>
      <c r="AA4" s="112">
        <v>0.63754999999999995</v>
      </c>
      <c r="AB4" s="77"/>
      <c r="AC4" s="77"/>
    </row>
    <row r="5" spans="1:34" s="13" customFormat="1" x14ac:dyDescent="0.3">
      <c r="A5" s="83" t="s">
        <v>0</v>
      </c>
      <c r="B5" s="83" t="s">
        <v>1</v>
      </c>
      <c r="C5" s="83"/>
      <c r="D5" s="83" t="s">
        <v>3</v>
      </c>
      <c r="E5" s="84">
        <v>45516</v>
      </c>
      <c r="F5" s="83">
        <v>18</v>
      </c>
      <c r="G5" s="83" t="s">
        <v>104</v>
      </c>
      <c r="H5" s="112">
        <v>0.1105</v>
      </c>
      <c r="I5" s="112">
        <v>0.29959999999999998</v>
      </c>
      <c r="J5" s="112">
        <v>0.3503</v>
      </c>
      <c r="K5" s="112">
        <v>0.18099999999999999</v>
      </c>
      <c r="L5" s="112">
        <v>2.5600000000000001E-2</v>
      </c>
      <c r="M5" s="112">
        <v>1.8499999999999999E-2</v>
      </c>
      <c r="N5" s="112">
        <v>1.46E-2</v>
      </c>
      <c r="O5" s="134">
        <v>3486</v>
      </c>
      <c r="P5" s="77"/>
      <c r="Q5" s="77"/>
      <c r="R5" s="87">
        <v>0.74439999999999995</v>
      </c>
      <c r="S5" s="88">
        <v>0.72909999999999997</v>
      </c>
      <c r="T5" s="77">
        <v>0.26800000000000002</v>
      </c>
      <c r="U5" s="212">
        <v>6.5000000000000002E-2</v>
      </c>
      <c r="V5" s="34">
        <f t="shared" si="0"/>
        <v>2594.9784</v>
      </c>
      <c r="W5" s="30">
        <f t="shared" si="1"/>
        <v>3259.4100000000003</v>
      </c>
      <c r="X5" s="34">
        <f t="shared" si="2"/>
        <v>2376.4358310000002</v>
      </c>
      <c r="Y5" s="77"/>
      <c r="Z5" s="112">
        <v>0.56608999999999998</v>
      </c>
      <c r="AA5" s="112">
        <v>0.56291000000000002</v>
      </c>
      <c r="AB5" s="77"/>
      <c r="AC5" s="77"/>
    </row>
    <row r="6" spans="1:34" s="77" customFormat="1" x14ac:dyDescent="0.3">
      <c r="A6" s="83" t="s">
        <v>0</v>
      </c>
      <c r="B6" s="83" t="s">
        <v>14</v>
      </c>
      <c r="C6" s="83" t="s">
        <v>2</v>
      </c>
      <c r="D6" s="83" t="s">
        <v>3</v>
      </c>
      <c r="E6" s="84">
        <v>45516</v>
      </c>
      <c r="F6" s="83">
        <v>18</v>
      </c>
      <c r="G6" s="83" t="s">
        <v>104</v>
      </c>
      <c r="H6" s="112">
        <v>0.64439999999999997</v>
      </c>
      <c r="I6" s="112">
        <v>0.21240000000000001</v>
      </c>
      <c r="J6" s="112">
        <v>0.1007</v>
      </c>
      <c r="K6" s="112">
        <v>2.5600000000000001E-2</v>
      </c>
      <c r="L6" s="112">
        <v>9.9000000000000008E-3</v>
      </c>
      <c r="M6" s="112">
        <v>4.1000000000000003E-3</v>
      </c>
      <c r="N6" s="112">
        <v>2.8999999999999998E-3</v>
      </c>
      <c r="O6" s="134">
        <v>3804</v>
      </c>
      <c r="R6" s="87">
        <v>0.93269999999999997</v>
      </c>
      <c r="S6" s="88">
        <v>0.86539999999999995</v>
      </c>
      <c r="T6" s="110">
        <v>0.03</v>
      </c>
      <c r="U6" s="212">
        <v>0.5</v>
      </c>
      <c r="V6" s="34">
        <f t="shared" si="0"/>
        <v>3547.9908</v>
      </c>
      <c r="W6" s="30">
        <f t="shared" si="1"/>
        <v>1902</v>
      </c>
      <c r="X6" s="34">
        <f t="shared" si="2"/>
        <v>1645.9907999999998</v>
      </c>
      <c r="Y6" s="110"/>
      <c r="Z6" s="110">
        <v>8.9999999999999993E-3</v>
      </c>
      <c r="AB6" s="110"/>
      <c r="AC6" s="110"/>
      <c r="AD6" s="112">
        <v>0.83964000000000005</v>
      </c>
      <c r="AE6" s="112">
        <v>0.67927999999999999</v>
      </c>
      <c r="AF6" s="110"/>
      <c r="AG6" s="110"/>
      <c r="AH6" s="110"/>
    </row>
    <row r="7" spans="1:34" s="77" customFormat="1" x14ac:dyDescent="0.3">
      <c r="A7" s="83" t="s">
        <v>0</v>
      </c>
      <c r="B7" s="83" t="s">
        <v>14</v>
      </c>
      <c r="C7" s="83" t="s">
        <v>2</v>
      </c>
      <c r="D7" s="83" t="s">
        <v>3</v>
      </c>
      <c r="E7" s="84">
        <v>45516</v>
      </c>
      <c r="F7" s="83">
        <v>18</v>
      </c>
      <c r="G7" s="83" t="s">
        <v>104</v>
      </c>
      <c r="H7" s="112">
        <v>0.14419999999999999</v>
      </c>
      <c r="I7" s="112">
        <v>0.35420000000000001</v>
      </c>
      <c r="J7" s="112">
        <v>0.31140000000000001</v>
      </c>
      <c r="K7" s="112">
        <v>0.16689999999999999</v>
      </c>
      <c r="L7" s="112">
        <v>1.6299999999999999E-2</v>
      </c>
      <c r="M7" s="112">
        <v>4.1000000000000003E-3</v>
      </c>
      <c r="N7" s="112">
        <v>2.8999999999999998E-3</v>
      </c>
      <c r="O7" s="134">
        <v>3702</v>
      </c>
      <c r="R7" s="87">
        <v>0.78420000000000001</v>
      </c>
      <c r="S7" s="88">
        <v>0.78420000000000001</v>
      </c>
      <c r="T7" s="110">
        <v>0.24099999999999999</v>
      </c>
      <c r="U7" s="212">
        <v>0</v>
      </c>
      <c r="V7" s="34">
        <f t="shared" si="0"/>
        <v>2903.1084000000001</v>
      </c>
      <c r="W7" s="30">
        <f t="shared" si="1"/>
        <v>3702</v>
      </c>
      <c r="X7" s="34">
        <f t="shared" si="2"/>
        <v>2903.1084000000001</v>
      </c>
      <c r="Y7" s="110"/>
      <c r="Z7" s="110">
        <v>8.7999999999999995E-2</v>
      </c>
      <c r="AB7" s="110"/>
      <c r="AC7" s="110"/>
      <c r="AD7" s="112">
        <v>0.62575000000000003</v>
      </c>
      <c r="AE7" s="112">
        <v>0.62575000000000003</v>
      </c>
      <c r="AF7" s="110"/>
      <c r="AG7" s="110"/>
      <c r="AH7" s="110"/>
    </row>
    <row r="8" spans="1:34" s="13" customFormat="1" x14ac:dyDescent="0.3">
      <c r="A8" s="83" t="s">
        <v>0</v>
      </c>
      <c r="B8" s="83" t="s">
        <v>14</v>
      </c>
      <c r="C8" s="83" t="s">
        <v>2</v>
      </c>
      <c r="D8" s="83" t="s">
        <v>3</v>
      </c>
      <c r="E8" s="84">
        <v>45516</v>
      </c>
      <c r="F8" s="83">
        <v>18</v>
      </c>
      <c r="G8" s="83" t="s">
        <v>104</v>
      </c>
      <c r="H8" s="112">
        <v>0.14349999999999999</v>
      </c>
      <c r="I8" s="112">
        <v>0.3402</v>
      </c>
      <c r="J8" s="112">
        <v>0.31119999999999998</v>
      </c>
      <c r="K8" s="112">
        <v>0.17630000000000001</v>
      </c>
      <c r="L8" s="112">
        <v>1.9900000000000001E-2</v>
      </c>
      <c r="M8" s="112">
        <v>5.1999999999999998E-3</v>
      </c>
      <c r="N8" s="112">
        <v>3.7000000000000002E-3</v>
      </c>
      <c r="O8" s="134">
        <v>3462</v>
      </c>
      <c r="P8" s="77"/>
      <c r="Q8" s="77"/>
      <c r="R8" s="87">
        <v>0.76859999999999995</v>
      </c>
      <c r="S8" s="88">
        <v>0.76859999999999995</v>
      </c>
      <c r="T8" s="77">
        <v>0.27100000000000002</v>
      </c>
      <c r="U8" s="212">
        <v>0</v>
      </c>
      <c r="V8" s="34">
        <f t="shared" si="0"/>
        <v>2660.8932</v>
      </c>
      <c r="W8" s="30">
        <f t="shared" si="1"/>
        <v>3462</v>
      </c>
      <c r="X8" s="34">
        <f t="shared" si="2"/>
        <v>2660.8932</v>
      </c>
      <c r="Y8" s="77"/>
      <c r="Z8" s="112">
        <v>0.61770000000000003</v>
      </c>
      <c r="AA8" s="112">
        <v>0.61770000000000003</v>
      </c>
      <c r="AB8" s="77"/>
      <c r="AC8" s="77"/>
    </row>
    <row r="9" spans="1:34" s="66" customFormat="1" x14ac:dyDescent="0.3">
      <c r="A9" s="83" t="s">
        <v>0</v>
      </c>
      <c r="B9" s="83" t="s">
        <v>14</v>
      </c>
      <c r="C9" s="83" t="s">
        <v>15</v>
      </c>
      <c r="D9" s="83" t="s">
        <v>3</v>
      </c>
      <c r="E9" s="84">
        <v>45507</v>
      </c>
      <c r="F9" s="83">
        <v>18</v>
      </c>
      <c r="G9" s="83" t="s">
        <v>104</v>
      </c>
      <c r="H9" s="112">
        <v>0.6341</v>
      </c>
      <c r="I9" s="112">
        <v>0.1976</v>
      </c>
      <c r="J9" s="112">
        <v>8.7599999999999997E-2</v>
      </c>
      <c r="K9" s="112">
        <v>4.87E-2</v>
      </c>
      <c r="L9" s="112">
        <v>1.8700000000000001E-2</v>
      </c>
      <c r="M9" s="112">
        <v>7.9000000000000008E-3</v>
      </c>
      <c r="N9" s="112">
        <v>5.4000000000000003E-3</v>
      </c>
      <c r="O9" s="134">
        <v>3726</v>
      </c>
      <c r="P9" s="77"/>
      <c r="Q9" s="77"/>
      <c r="R9" s="87">
        <v>0.88780000000000003</v>
      </c>
      <c r="S9" s="88">
        <v>0.77559999999999996</v>
      </c>
      <c r="T9" s="110">
        <v>3.6999999999999998E-2</v>
      </c>
      <c r="U9" s="212">
        <v>0.5</v>
      </c>
      <c r="V9" s="34">
        <f t="shared" si="0"/>
        <v>3307.9428000000003</v>
      </c>
      <c r="W9" s="30">
        <f t="shared" si="1"/>
        <v>1863</v>
      </c>
      <c r="X9" s="34">
        <f t="shared" si="2"/>
        <v>1444.9427999999998</v>
      </c>
      <c r="Y9" s="110"/>
      <c r="Z9" s="110"/>
      <c r="AA9" s="77"/>
      <c r="AB9" s="77"/>
      <c r="AC9" s="77"/>
    </row>
    <row r="10" spans="1:34" s="66" customFormat="1" x14ac:dyDescent="0.3">
      <c r="A10" s="83" t="s">
        <v>0</v>
      </c>
      <c r="B10" s="83" t="s">
        <v>1</v>
      </c>
      <c r="C10" s="83" t="s">
        <v>15</v>
      </c>
      <c r="D10" s="83" t="s">
        <v>3</v>
      </c>
      <c r="E10" s="84">
        <v>45507</v>
      </c>
      <c r="F10" s="83">
        <v>18</v>
      </c>
      <c r="G10" s="83" t="s">
        <v>104</v>
      </c>
      <c r="H10" s="112">
        <v>0.1111</v>
      </c>
      <c r="I10" s="112">
        <v>0.31040000000000001</v>
      </c>
      <c r="J10" s="112">
        <v>0.35489999999999999</v>
      </c>
      <c r="K10" s="112">
        <v>0.17130000000000001</v>
      </c>
      <c r="L10" s="112">
        <v>2.2499999999999999E-2</v>
      </c>
      <c r="M10" s="112">
        <v>1.66E-2</v>
      </c>
      <c r="N10" s="112">
        <v>1.32E-2</v>
      </c>
      <c r="O10" s="134">
        <v>3726</v>
      </c>
      <c r="P10" s="77"/>
      <c r="Q10" s="77"/>
      <c r="R10" s="87">
        <v>0.75419999999999998</v>
      </c>
      <c r="S10" s="88">
        <v>0.75419999999999998</v>
      </c>
      <c r="T10" s="110">
        <v>0.27500000000000002</v>
      </c>
      <c r="U10" s="212">
        <v>0</v>
      </c>
      <c r="V10" s="34">
        <f t="shared" si="0"/>
        <v>2810.1491999999998</v>
      </c>
      <c r="W10" s="30">
        <f t="shared" si="1"/>
        <v>3726</v>
      </c>
      <c r="X10" s="34">
        <f t="shared" si="2"/>
        <v>2810.1491999999998</v>
      </c>
      <c r="Y10" s="110"/>
      <c r="Z10" s="110"/>
      <c r="AA10" s="77"/>
      <c r="AB10" s="77"/>
      <c r="AC10" s="77"/>
    </row>
    <row r="11" spans="1:34" s="66" customFormat="1" x14ac:dyDescent="0.3">
      <c r="A11" s="83" t="s">
        <v>0</v>
      </c>
      <c r="B11" s="83" t="s">
        <v>106</v>
      </c>
      <c r="C11" s="83" t="s">
        <v>15</v>
      </c>
      <c r="D11" s="83" t="s">
        <v>3</v>
      </c>
      <c r="E11" s="84">
        <v>45507</v>
      </c>
      <c r="F11" s="83">
        <v>18</v>
      </c>
      <c r="G11" s="83" t="s">
        <v>104</v>
      </c>
      <c r="H11" s="112">
        <v>0.13420000000000001</v>
      </c>
      <c r="I11" s="112">
        <v>0.33910000000000001</v>
      </c>
      <c r="J11" s="112">
        <v>0.29720000000000002</v>
      </c>
      <c r="K11" s="112">
        <v>0.19089999999999999</v>
      </c>
      <c r="L11" s="112">
        <v>2.52E-2</v>
      </c>
      <c r="M11" s="112">
        <v>7.9000000000000008E-3</v>
      </c>
      <c r="N11" s="112">
        <v>5.4000000000000003E-3</v>
      </c>
      <c r="O11" s="134">
        <v>3618</v>
      </c>
      <c r="P11" s="77"/>
      <c r="Q11" s="77"/>
      <c r="R11" s="87">
        <v>0.74380000000000002</v>
      </c>
      <c r="S11" s="88">
        <v>0.74380000000000002</v>
      </c>
      <c r="T11" s="110">
        <v>0.22900000000000001</v>
      </c>
      <c r="U11" s="212">
        <v>0</v>
      </c>
      <c r="V11" s="34">
        <f t="shared" si="0"/>
        <v>2691.0684000000001</v>
      </c>
      <c r="W11" s="30">
        <f t="shared" si="1"/>
        <v>3618</v>
      </c>
      <c r="X11" s="34">
        <f t="shared" si="2"/>
        <v>2691.0684000000001</v>
      </c>
      <c r="Y11" s="110"/>
      <c r="Z11" s="110"/>
      <c r="AA11" s="77"/>
      <c r="AB11" s="77"/>
      <c r="AC11" s="77"/>
    </row>
    <row r="12" spans="1:34" s="66" customFormat="1" x14ac:dyDescent="0.3">
      <c r="A12" s="83" t="s">
        <v>0</v>
      </c>
      <c r="B12" s="83" t="s">
        <v>14</v>
      </c>
      <c r="C12" s="83" t="s">
        <v>135</v>
      </c>
      <c r="D12" s="83" t="s">
        <v>3</v>
      </c>
      <c r="E12" s="84">
        <v>45508</v>
      </c>
      <c r="F12" s="83">
        <v>18</v>
      </c>
      <c r="G12" s="83" t="s">
        <v>104</v>
      </c>
      <c r="H12" s="112">
        <v>0.63380000000000003</v>
      </c>
      <c r="I12" s="112">
        <v>0.23050000000000001</v>
      </c>
      <c r="J12" s="112">
        <v>0.1182</v>
      </c>
      <c r="K12" s="112">
        <v>1.2500000000000001E-2</v>
      </c>
      <c r="L12" s="112">
        <v>3.0999999999999999E-3</v>
      </c>
      <c r="M12" s="112">
        <v>1E-3</v>
      </c>
      <c r="N12" s="112">
        <v>8.9999999999999998E-4</v>
      </c>
      <c r="O12" s="134">
        <v>3840</v>
      </c>
      <c r="P12" s="77"/>
      <c r="Q12" s="77"/>
      <c r="R12" s="87">
        <v>0.92810000000000004</v>
      </c>
      <c r="S12" s="88">
        <v>0.88100000000000001</v>
      </c>
      <c r="T12" s="110">
        <v>2.4E-2</v>
      </c>
      <c r="U12" s="212">
        <v>0.55800000000000005</v>
      </c>
      <c r="V12" s="34">
        <f t="shared" si="0"/>
        <v>3563.904</v>
      </c>
      <c r="W12" s="30">
        <f t="shared" si="1"/>
        <v>1697.2799999999997</v>
      </c>
      <c r="X12" s="34">
        <f t="shared" si="2"/>
        <v>1495.3036799999998</v>
      </c>
      <c r="Y12" s="110"/>
      <c r="Z12" s="110"/>
      <c r="AA12" s="77"/>
      <c r="AB12" s="77"/>
      <c r="AC12" s="77"/>
    </row>
    <row r="13" spans="1:34" s="66" customFormat="1" x14ac:dyDescent="0.3">
      <c r="A13" s="83" t="s">
        <v>0</v>
      </c>
      <c r="B13" s="83" t="s">
        <v>14</v>
      </c>
      <c r="C13" s="83" t="s">
        <v>135</v>
      </c>
      <c r="D13" s="83" t="s">
        <v>3</v>
      </c>
      <c r="E13" s="84">
        <v>45508</v>
      </c>
      <c r="F13" s="83">
        <v>18</v>
      </c>
      <c r="G13" s="83" t="s">
        <v>104</v>
      </c>
      <c r="H13" s="112">
        <v>0.39760000000000001</v>
      </c>
      <c r="I13" s="112">
        <v>0.3049</v>
      </c>
      <c r="J13" s="112">
        <v>0.2399</v>
      </c>
      <c r="K13" s="112">
        <v>5.2299999999999999E-2</v>
      </c>
      <c r="L13" s="112">
        <v>3.3999999999999998E-3</v>
      </c>
      <c r="M13" s="112">
        <v>1E-3</v>
      </c>
      <c r="N13" s="112">
        <v>8.9999999999999998E-4</v>
      </c>
      <c r="O13" s="134">
        <v>3732</v>
      </c>
      <c r="P13" s="77"/>
      <c r="Q13" s="77"/>
      <c r="R13" s="87">
        <v>0.63129999999999997</v>
      </c>
      <c r="S13" s="88">
        <v>0.62939999999999996</v>
      </c>
      <c r="T13" s="110">
        <v>0.222</v>
      </c>
      <c r="U13" s="212">
        <v>5.8000000000000003E-2</v>
      </c>
      <c r="V13" s="34">
        <f t="shared" si="0"/>
        <v>2356.0115999999998</v>
      </c>
      <c r="W13" s="30">
        <f t="shared" si="1"/>
        <v>3515.5439999999999</v>
      </c>
      <c r="X13" s="34">
        <f t="shared" si="2"/>
        <v>2212.6833935999998</v>
      </c>
      <c r="Y13" s="110"/>
      <c r="Z13" s="110"/>
      <c r="AA13" s="77"/>
      <c r="AB13" s="77"/>
      <c r="AC13" s="77"/>
    </row>
    <row r="14" spans="1:34" s="77" customFormat="1" x14ac:dyDescent="0.3">
      <c r="A14" s="83" t="s">
        <v>0</v>
      </c>
      <c r="B14" s="83" t="s">
        <v>14</v>
      </c>
      <c r="C14" s="83"/>
      <c r="D14" s="83" t="s">
        <v>3</v>
      </c>
      <c r="E14" s="84">
        <v>45508</v>
      </c>
      <c r="F14" s="83">
        <v>18</v>
      </c>
      <c r="G14" s="83" t="s">
        <v>104</v>
      </c>
      <c r="H14" s="112">
        <v>0.65249999999999997</v>
      </c>
      <c r="I14" s="112">
        <v>0.24149999999999999</v>
      </c>
      <c r="J14" s="112">
        <v>0.10539999999999999</v>
      </c>
      <c r="K14" s="112">
        <v>5.9999999999999995E-4</v>
      </c>
      <c r="L14" s="110"/>
      <c r="M14" s="110"/>
      <c r="N14" s="110"/>
      <c r="O14" s="134">
        <v>3456</v>
      </c>
      <c r="R14" s="87">
        <v>0.94010000000000005</v>
      </c>
      <c r="S14" s="88">
        <v>0.91669999999999996</v>
      </c>
      <c r="T14" s="110">
        <v>0</v>
      </c>
      <c r="U14" s="212">
        <v>0.66700000000000004</v>
      </c>
      <c r="V14" s="34">
        <f t="shared" si="0"/>
        <v>3248.9856</v>
      </c>
      <c r="W14" s="30">
        <f t="shared" si="1"/>
        <v>1150.848</v>
      </c>
      <c r="X14" s="34">
        <f t="shared" si="2"/>
        <v>1054.9823615999999</v>
      </c>
      <c r="Y14" s="110"/>
      <c r="Z14" s="110"/>
    </row>
    <row r="15" spans="1:34" s="77" customFormat="1" x14ac:dyDescent="0.3">
      <c r="A15" s="83" t="s">
        <v>0</v>
      </c>
      <c r="B15" s="83" t="s">
        <v>14</v>
      </c>
      <c r="C15" s="83"/>
      <c r="D15" s="83" t="s">
        <v>3</v>
      </c>
      <c r="E15" s="84">
        <v>45508</v>
      </c>
      <c r="F15" s="83">
        <v>18</v>
      </c>
      <c r="G15" s="83" t="s">
        <v>104</v>
      </c>
      <c r="H15" s="112">
        <v>0.13009999999999999</v>
      </c>
      <c r="I15" s="112">
        <v>0.31940000000000002</v>
      </c>
      <c r="J15" s="112">
        <v>0.30759999999999998</v>
      </c>
      <c r="K15" s="112">
        <v>0.1779</v>
      </c>
      <c r="L15" s="112">
        <v>0.05</v>
      </c>
      <c r="M15" s="112">
        <v>8.8999999999999999E-3</v>
      </c>
      <c r="N15" s="112">
        <v>6.1999999999999998E-3</v>
      </c>
      <c r="O15" s="134">
        <v>3384</v>
      </c>
      <c r="R15" s="87">
        <v>0.72399999999999998</v>
      </c>
      <c r="S15" s="88">
        <v>0.72399999999999998</v>
      </c>
      <c r="T15" s="110">
        <v>0.23799999999999999</v>
      </c>
      <c r="U15" s="212">
        <v>0</v>
      </c>
      <c r="V15" s="34">
        <f t="shared" si="0"/>
        <v>2450.0160000000001</v>
      </c>
      <c r="W15" s="30">
        <f t="shared" si="1"/>
        <v>3384</v>
      </c>
      <c r="X15" s="34">
        <f t="shared" si="2"/>
        <v>2450.0160000000001</v>
      </c>
      <c r="Y15" s="110"/>
      <c r="Z15" s="110"/>
    </row>
    <row r="16" spans="1:34" s="77" customFormat="1" x14ac:dyDescent="0.3">
      <c r="A16" s="83" t="s">
        <v>0</v>
      </c>
      <c r="B16" s="83" t="s">
        <v>1</v>
      </c>
      <c r="C16" s="83"/>
      <c r="D16" s="83" t="s">
        <v>3</v>
      </c>
      <c r="E16" s="84">
        <v>45508</v>
      </c>
      <c r="F16" s="83">
        <v>18</v>
      </c>
      <c r="G16" s="83" t="s">
        <v>104</v>
      </c>
      <c r="H16" s="112">
        <v>0.109</v>
      </c>
      <c r="I16" s="112">
        <v>0.29809999999999998</v>
      </c>
      <c r="J16" s="112">
        <v>0.35299999999999998</v>
      </c>
      <c r="K16" s="112">
        <v>0.1802</v>
      </c>
      <c r="L16" s="112">
        <v>2.58E-2</v>
      </c>
      <c r="M16" s="112">
        <v>1.89E-2</v>
      </c>
      <c r="N16" s="112">
        <v>1.49E-2</v>
      </c>
      <c r="O16" s="134">
        <v>3456</v>
      </c>
      <c r="R16" s="87">
        <v>0.75060000000000004</v>
      </c>
      <c r="S16" s="88">
        <v>0.75060000000000004</v>
      </c>
      <c r="T16" s="110">
        <v>0.24199999999999999</v>
      </c>
      <c r="U16" s="212">
        <v>0</v>
      </c>
      <c r="V16" s="34">
        <f t="shared" si="0"/>
        <v>2594.0736000000002</v>
      </c>
      <c r="W16" s="30">
        <f t="shared" si="1"/>
        <v>3456</v>
      </c>
      <c r="X16" s="34">
        <f t="shared" si="2"/>
        <v>2594.0736000000002</v>
      </c>
      <c r="Y16" s="110"/>
      <c r="Z16" s="110"/>
    </row>
    <row r="17" spans="1:34" s="77" customFormat="1" x14ac:dyDescent="0.3">
      <c r="A17" s="83" t="s">
        <v>0</v>
      </c>
      <c r="B17" s="83" t="s">
        <v>14</v>
      </c>
      <c r="C17" s="83" t="s">
        <v>122</v>
      </c>
      <c r="D17" s="83" t="s">
        <v>3</v>
      </c>
      <c r="E17" s="84">
        <v>45521</v>
      </c>
      <c r="F17" s="83">
        <v>18</v>
      </c>
      <c r="G17" s="83" t="s">
        <v>104</v>
      </c>
      <c r="H17" s="112">
        <v>0.61119999999999997</v>
      </c>
      <c r="I17" s="112">
        <v>0.22700000000000001</v>
      </c>
      <c r="J17" s="112">
        <v>0.12859999999999999</v>
      </c>
      <c r="K17" s="112">
        <v>2.6200000000000001E-2</v>
      </c>
      <c r="L17" s="112">
        <v>4.1000000000000003E-3</v>
      </c>
      <c r="M17" s="112">
        <v>1.5E-3</v>
      </c>
      <c r="N17" s="112">
        <v>1.2999999999999999E-3</v>
      </c>
      <c r="O17" s="134">
        <v>3900</v>
      </c>
      <c r="R17" s="87">
        <v>0.93049999999999999</v>
      </c>
      <c r="S17" s="88">
        <v>0.84309999999999996</v>
      </c>
      <c r="T17" s="110">
        <v>0</v>
      </c>
      <c r="U17" s="212">
        <v>0.66700000000000004</v>
      </c>
      <c r="V17" s="236">
        <f t="shared" si="0"/>
        <v>3628.95</v>
      </c>
      <c r="W17" s="237">
        <f t="shared" si="1"/>
        <v>1298.6999999999998</v>
      </c>
      <c r="X17" s="236">
        <f t="shared" si="2"/>
        <v>1094.9339699999998</v>
      </c>
      <c r="Y17" s="110"/>
      <c r="Z17" s="110"/>
      <c r="AA17" s="110"/>
      <c r="AB17" s="110"/>
      <c r="AC17" s="110"/>
      <c r="AD17" s="112">
        <v>0.80706</v>
      </c>
      <c r="AE17" s="112">
        <v>0.64541999999999999</v>
      </c>
      <c r="AF17" s="110"/>
      <c r="AG17" s="110"/>
      <c r="AH17" s="110"/>
    </row>
    <row r="18" spans="1:34" s="77" customFormat="1" x14ac:dyDescent="0.3">
      <c r="A18" s="83" t="s">
        <v>0</v>
      </c>
      <c r="B18" s="83" t="s">
        <v>1</v>
      </c>
      <c r="C18" s="83" t="s">
        <v>122</v>
      </c>
      <c r="D18" s="83" t="s">
        <v>3</v>
      </c>
      <c r="E18" s="84">
        <v>45521</v>
      </c>
      <c r="F18" s="83">
        <v>18</v>
      </c>
      <c r="G18" s="83" t="s">
        <v>104</v>
      </c>
      <c r="H18" s="112">
        <v>0.113</v>
      </c>
      <c r="I18" s="112">
        <v>0.30620000000000003</v>
      </c>
      <c r="J18" s="112">
        <v>0.35859999999999997</v>
      </c>
      <c r="K18" s="112">
        <v>0.17100000000000001</v>
      </c>
      <c r="L18" s="112">
        <v>2.2100000000000002E-2</v>
      </c>
      <c r="M18" s="112">
        <v>1.6299999999999999E-2</v>
      </c>
      <c r="N18" s="112">
        <v>1.29E-2</v>
      </c>
      <c r="O18" s="134">
        <v>3918</v>
      </c>
      <c r="R18" s="87">
        <v>0.75880000000000003</v>
      </c>
      <c r="S18" s="88">
        <v>0.74660000000000004</v>
      </c>
      <c r="T18" s="110">
        <v>0.23699999999999999</v>
      </c>
      <c r="U18" s="212">
        <v>5.8000000000000003E-2</v>
      </c>
      <c r="V18" s="236">
        <f t="shared" si="0"/>
        <v>2972.9784</v>
      </c>
      <c r="W18" s="237">
        <f t="shared" si="1"/>
        <v>3690.7559999999999</v>
      </c>
      <c r="X18" s="236">
        <f t="shared" si="2"/>
        <v>2755.5184296000002</v>
      </c>
      <c r="Y18" s="110"/>
      <c r="Z18" s="110"/>
      <c r="AA18" s="110"/>
      <c r="AB18" s="110"/>
      <c r="AC18" s="110"/>
      <c r="AD18" s="112">
        <v>0.57059000000000004</v>
      </c>
      <c r="AE18" s="112">
        <v>0.56823000000000001</v>
      </c>
      <c r="AF18" s="110"/>
      <c r="AG18" s="110"/>
      <c r="AH18" s="110"/>
    </row>
    <row r="19" spans="1:34" s="77" customFormat="1" x14ac:dyDescent="0.3">
      <c r="A19" s="83" t="s">
        <v>0</v>
      </c>
      <c r="B19" s="83" t="s">
        <v>14</v>
      </c>
      <c r="C19" s="83" t="s">
        <v>122</v>
      </c>
      <c r="D19" s="83" t="s">
        <v>3</v>
      </c>
      <c r="E19" s="84">
        <v>45521</v>
      </c>
      <c r="F19" s="83">
        <v>18</v>
      </c>
      <c r="G19" s="83" t="s">
        <v>104</v>
      </c>
      <c r="H19" s="112">
        <v>0.255</v>
      </c>
      <c r="I19" s="112">
        <v>0.32379999999999998</v>
      </c>
      <c r="J19" s="112">
        <v>0.29420000000000002</v>
      </c>
      <c r="K19" s="112">
        <v>0.1172</v>
      </c>
      <c r="L19" s="112">
        <v>7.0000000000000001E-3</v>
      </c>
      <c r="M19" s="112">
        <v>1.5E-3</v>
      </c>
      <c r="N19" s="112">
        <v>1.2999999999999999E-3</v>
      </c>
      <c r="O19" s="134">
        <v>3864</v>
      </c>
      <c r="R19" s="87">
        <v>0.68710000000000004</v>
      </c>
      <c r="S19" s="88">
        <v>0.68710000000000004</v>
      </c>
      <c r="T19" s="110">
        <v>0.22700000000000001</v>
      </c>
      <c r="U19" s="212">
        <v>0</v>
      </c>
      <c r="V19" s="236">
        <f t="shared" si="0"/>
        <v>2654.9544000000001</v>
      </c>
      <c r="W19" s="237">
        <f t="shared" si="1"/>
        <v>3864</v>
      </c>
      <c r="X19" s="236">
        <f t="shared" si="2"/>
        <v>2654.9544000000001</v>
      </c>
      <c r="Y19" s="110"/>
      <c r="Z19" s="110"/>
      <c r="AA19" s="110"/>
      <c r="AB19" s="110"/>
      <c r="AC19" s="110"/>
      <c r="AD19" s="112">
        <v>0.58421000000000001</v>
      </c>
      <c r="AE19" s="112">
        <v>0.58421000000000001</v>
      </c>
      <c r="AF19" s="110"/>
      <c r="AG19" s="110"/>
      <c r="AH19" s="110"/>
    </row>
    <row r="20" spans="1:34" s="66" customFormat="1" x14ac:dyDescent="0.3">
      <c r="A20" s="158" t="s">
        <v>0</v>
      </c>
      <c r="B20" s="158" t="s">
        <v>1</v>
      </c>
      <c r="C20" s="158" t="s">
        <v>2</v>
      </c>
      <c r="D20" s="158" t="s">
        <v>3</v>
      </c>
      <c r="E20" s="159">
        <v>45685</v>
      </c>
      <c r="F20" s="158">
        <v>18</v>
      </c>
      <c r="G20" s="158" t="s">
        <v>104</v>
      </c>
      <c r="H20" s="160">
        <v>0.1069</v>
      </c>
      <c r="I20" s="160">
        <v>0.29509999999999997</v>
      </c>
      <c r="J20" s="160">
        <v>0.35170000000000001</v>
      </c>
      <c r="K20" s="160">
        <v>0.17560000000000001</v>
      </c>
      <c r="L20" s="160">
        <v>3.6299999999999999E-2</v>
      </c>
      <c r="M20" s="160">
        <v>1.9099999999999999E-2</v>
      </c>
      <c r="N20" s="160">
        <v>1.52E-2</v>
      </c>
      <c r="O20" s="239">
        <v>3468</v>
      </c>
      <c r="R20" s="233">
        <v>0.74860000000000004</v>
      </c>
      <c r="S20" s="92">
        <v>0.74860000000000004</v>
      </c>
      <c r="T20" s="85">
        <v>0.27</v>
      </c>
      <c r="U20" s="230">
        <v>0</v>
      </c>
      <c r="V20" s="236">
        <f t="shared" ref="V20:V29" si="3">O20*R20</f>
        <v>2596.1448</v>
      </c>
      <c r="W20" s="237">
        <f t="shared" ref="W20:W29" si="4">O20*(1-U20)</f>
        <v>3468</v>
      </c>
      <c r="X20" s="236">
        <f t="shared" ref="X20:X29" si="5">S20*W20</f>
        <v>2596.1448</v>
      </c>
      <c r="Y20" s="160">
        <v>0.55591999999999997</v>
      </c>
      <c r="AA20" s="85">
        <v>9.9000000000000005E-2</v>
      </c>
      <c r="AC20" s="85"/>
      <c r="AD20" s="85"/>
      <c r="AE20" s="85"/>
      <c r="AF20" s="85"/>
      <c r="AG20" s="85"/>
      <c r="AH20" s="85"/>
    </row>
    <row r="21" spans="1:34" s="66" customFormat="1" x14ac:dyDescent="0.3">
      <c r="A21" s="158" t="s">
        <v>0</v>
      </c>
      <c r="B21" s="158" t="s">
        <v>1</v>
      </c>
      <c r="C21" s="158" t="s">
        <v>2</v>
      </c>
      <c r="D21" s="158" t="s">
        <v>3</v>
      </c>
      <c r="E21" s="159">
        <v>45685</v>
      </c>
      <c r="F21" s="158">
        <v>18</v>
      </c>
      <c r="G21" s="158" t="s">
        <v>104</v>
      </c>
      <c r="H21" s="160">
        <v>0.1071</v>
      </c>
      <c r="I21" s="160">
        <v>0.29509999999999997</v>
      </c>
      <c r="J21" s="160">
        <v>0.35160000000000002</v>
      </c>
      <c r="K21" s="160">
        <v>0.17549999999999999</v>
      </c>
      <c r="L21" s="160">
        <v>3.6299999999999999E-2</v>
      </c>
      <c r="M21" s="160">
        <v>1.9099999999999999E-2</v>
      </c>
      <c r="N21" s="160">
        <v>1.52E-2</v>
      </c>
      <c r="O21" s="239">
        <v>3438</v>
      </c>
      <c r="R21" s="233">
        <v>0.74609999999999999</v>
      </c>
      <c r="S21" s="92">
        <v>0.74609999999999999</v>
      </c>
      <c r="T21" s="85">
        <v>0.28199999999999997</v>
      </c>
      <c r="U21" s="230">
        <v>0</v>
      </c>
      <c r="V21" s="236">
        <f t="shared" si="3"/>
        <v>2565.0918000000001</v>
      </c>
      <c r="W21" s="237">
        <f t="shared" si="4"/>
        <v>3438</v>
      </c>
      <c r="X21" s="236">
        <f t="shared" si="5"/>
        <v>2565.0918000000001</v>
      </c>
      <c r="Y21" s="160">
        <v>0.56323999999999996</v>
      </c>
      <c r="AA21" s="85">
        <v>0.104</v>
      </c>
      <c r="AC21" s="85"/>
      <c r="AD21" s="85"/>
      <c r="AE21" s="85"/>
      <c r="AF21" s="85"/>
      <c r="AG21" s="85"/>
      <c r="AH21" s="85"/>
    </row>
    <row r="22" spans="1:34" s="66" customFormat="1" x14ac:dyDescent="0.3">
      <c r="A22" s="158" t="s">
        <v>0</v>
      </c>
      <c r="B22" s="158" t="s">
        <v>1</v>
      </c>
      <c r="C22" s="158" t="s">
        <v>2</v>
      </c>
      <c r="D22" s="158" t="s">
        <v>3</v>
      </c>
      <c r="E22" s="159">
        <v>45686</v>
      </c>
      <c r="F22" s="158">
        <v>18</v>
      </c>
      <c r="G22" s="158" t="s">
        <v>104</v>
      </c>
      <c r="H22" s="160">
        <v>0.1134</v>
      </c>
      <c r="I22" s="160">
        <v>0.30009999999999998</v>
      </c>
      <c r="J22" s="160">
        <v>0.35670000000000002</v>
      </c>
      <c r="K22" s="160">
        <v>0.17699999999999999</v>
      </c>
      <c r="L22" s="160">
        <v>2.29E-2</v>
      </c>
      <c r="M22" s="160">
        <v>1.67E-2</v>
      </c>
      <c r="N22" s="160">
        <v>1.32E-2</v>
      </c>
      <c r="O22" s="239">
        <v>3888</v>
      </c>
      <c r="R22" s="233">
        <v>0.751</v>
      </c>
      <c r="S22" s="92">
        <v>0.751</v>
      </c>
      <c r="T22" s="85">
        <v>0.24399999999999999</v>
      </c>
      <c r="U22" s="230">
        <v>0</v>
      </c>
      <c r="V22" s="236">
        <f t="shared" si="3"/>
        <v>2919.8879999999999</v>
      </c>
      <c r="W22" s="237">
        <f t="shared" si="4"/>
        <v>3888</v>
      </c>
      <c r="X22" s="236">
        <f t="shared" si="5"/>
        <v>2919.8879999999999</v>
      </c>
      <c r="Y22" s="160">
        <v>0.56230000000000002</v>
      </c>
      <c r="AA22" s="85">
        <v>8.7999999999999995E-2</v>
      </c>
      <c r="AC22" s="85"/>
      <c r="AD22" s="85"/>
      <c r="AE22" s="85"/>
      <c r="AF22" s="85"/>
      <c r="AG22" s="85"/>
      <c r="AH22" s="85"/>
    </row>
    <row r="23" spans="1:34" s="66" customFormat="1" x14ac:dyDescent="0.3">
      <c r="A23" s="158" t="s">
        <v>0</v>
      </c>
      <c r="B23" s="158" t="s">
        <v>1</v>
      </c>
      <c r="C23" s="158" t="s">
        <v>2</v>
      </c>
      <c r="D23" s="158" t="s">
        <v>3</v>
      </c>
      <c r="E23" s="159">
        <v>45686</v>
      </c>
      <c r="F23" s="158">
        <v>18</v>
      </c>
      <c r="G23" s="158" t="s">
        <v>104</v>
      </c>
      <c r="H23" s="160">
        <v>0.1124</v>
      </c>
      <c r="I23" s="160">
        <v>0.30059999999999998</v>
      </c>
      <c r="J23" s="160">
        <v>0.35649999999999998</v>
      </c>
      <c r="K23" s="160">
        <v>0.1772</v>
      </c>
      <c r="L23" s="160">
        <v>2.3099999999999999E-2</v>
      </c>
      <c r="M23" s="160">
        <v>1.6899999999999998E-2</v>
      </c>
      <c r="N23" s="160">
        <v>1.34E-2</v>
      </c>
      <c r="O23" s="239">
        <v>3876</v>
      </c>
      <c r="R23" s="233">
        <v>0.74380000000000002</v>
      </c>
      <c r="S23" s="92">
        <v>0.74380000000000002</v>
      </c>
      <c r="T23" s="85">
        <v>0.26400000000000001</v>
      </c>
      <c r="U23" s="230">
        <v>0</v>
      </c>
      <c r="V23" s="236">
        <f t="shared" si="3"/>
        <v>2882.9688000000001</v>
      </c>
      <c r="W23" s="237">
        <f t="shared" si="4"/>
        <v>3876</v>
      </c>
      <c r="X23" s="236">
        <f t="shared" si="5"/>
        <v>2882.9688000000001</v>
      </c>
      <c r="Y23" s="160">
        <v>0.56384999999999996</v>
      </c>
      <c r="AA23" s="85">
        <v>9.7000000000000003E-2</v>
      </c>
      <c r="AC23" s="85"/>
      <c r="AD23" s="85"/>
      <c r="AE23" s="85"/>
      <c r="AF23" s="85"/>
      <c r="AG23" s="85"/>
      <c r="AH23" s="85"/>
    </row>
    <row r="24" spans="1:34" s="66" customFormat="1" x14ac:dyDescent="0.3">
      <c r="A24" s="158" t="s">
        <v>0</v>
      </c>
      <c r="B24" s="158" t="s">
        <v>14</v>
      </c>
      <c r="C24" s="158" t="s">
        <v>2</v>
      </c>
      <c r="D24" s="158" t="s">
        <v>3</v>
      </c>
      <c r="E24" s="159">
        <v>45686</v>
      </c>
      <c r="F24" s="158">
        <v>18</v>
      </c>
      <c r="G24" s="158" t="s">
        <v>104</v>
      </c>
      <c r="H24" s="160">
        <v>0.12740000000000001</v>
      </c>
      <c r="I24" s="160">
        <v>0.3508</v>
      </c>
      <c r="J24" s="160">
        <v>0.33129999999999998</v>
      </c>
      <c r="K24" s="160">
        <v>0.1699</v>
      </c>
      <c r="L24" s="160">
        <v>1.47E-2</v>
      </c>
      <c r="M24" s="160">
        <v>3.3999999999999998E-3</v>
      </c>
      <c r="N24" s="160">
        <v>2.5000000000000001E-3</v>
      </c>
      <c r="O24" s="239">
        <v>3876</v>
      </c>
      <c r="R24" s="233">
        <v>0.76729999999999998</v>
      </c>
      <c r="S24" s="92">
        <v>0.76729999999999998</v>
      </c>
      <c r="T24" s="85">
        <v>0.24</v>
      </c>
      <c r="U24" s="230">
        <v>0</v>
      </c>
      <c r="V24" s="236">
        <f t="shared" si="3"/>
        <v>2974.0547999999999</v>
      </c>
      <c r="W24" s="237">
        <f t="shared" si="4"/>
        <v>3876</v>
      </c>
      <c r="X24" s="236">
        <f t="shared" si="5"/>
        <v>2974.0547999999999</v>
      </c>
      <c r="Y24" s="160">
        <v>0.62228000000000006</v>
      </c>
      <c r="AA24" s="85">
        <v>8.5999999999999993E-2</v>
      </c>
      <c r="AC24" s="85"/>
      <c r="AD24" s="85"/>
      <c r="AE24" s="85"/>
      <c r="AF24" s="85"/>
      <c r="AG24" s="85"/>
      <c r="AH24" s="85"/>
    </row>
    <row r="25" spans="1:34" s="66" customFormat="1" x14ac:dyDescent="0.3">
      <c r="A25" s="158" t="s">
        <v>0</v>
      </c>
      <c r="B25" s="158" t="s">
        <v>14</v>
      </c>
      <c r="C25" s="158" t="s">
        <v>2</v>
      </c>
      <c r="D25" s="158" t="s">
        <v>3</v>
      </c>
      <c r="E25" s="159">
        <v>45686</v>
      </c>
      <c r="F25" s="158">
        <v>18</v>
      </c>
      <c r="G25" s="158" t="s">
        <v>104</v>
      </c>
      <c r="H25" s="160">
        <v>0.62760000000000005</v>
      </c>
      <c r="I25" s="160">
        <v>0.2099</v>
      </c>
      <c r="J25" s="160">
        <v>0.12039999999999999</v>
      </c>
      <c r="K25" s="160">
        <v>2.8299999999999999E-2</v>
      </c>
      <c r="L25" s="160">
        <v>7.9000000000000008E-3</v>
      </c>
      <c r="M25" s="160">
        <v>3.3999999999999998E-3</v>
      </c>
      <c r="N25" s="160">
        <v>2.5000000000000001E-3</v>
      </c>
      <c r="O25" s="239">
        <v>3888</v>
      </c>
      <c r="R25" s="233">
        <v>0.91900000000000004</v>
      </c>
      <c r="S25" s="92">
        <v>0.75690000000000002</v>
      </c>
      <c r="T25" s="85">
        <v>0</v>
      </c>
      <c r="U25" s="230">
        <v>0.66700000000000004</v>
      </c>
      <c r="V25" s="236">
        <f t="shared" si="3"/>
        <v>3573.0720000000001</v>
      </c>
      <c r="W25" s="237">
        <f t="shared" si="4"/>
        <v>1294.704</v>
      </c>
      <c r="X25" s="236">
        <f t="shared" si="5"/>
        <v>979.96145760000002</v>
      </c>
      <c r="Y25" s="160">
        <v>0.62473000000000001</v>
      </c>
      <c r="AA25" s="85">
        <v>0</v>
      </c>
      <c r="AC25" s="85"/>
      <c r="AD25" s="85"/>
      <c r="AE25" s="85"/>
      <c r="AF25" s="85"/>
      <c r="AG25" s="85"/>
      <c r="AH25" s="85"/>
    </row>
    <row r="26" spans="1:34" s="66" customFormat="1" x14ac:dyDescent="0.3">
      <c r="A26" s="158" t="s">
        <v>0</v>
      </c>
      <c r="B26" s="158" t="s">
        <v>1</v>
      </c>
      <c r="C26" s="158" t="s">
        <v>135</v>
      </c>
      <c r="D26" s="158" t="s">
        <v>3</v>
      </c>
      <c r="E26" s="159">
        <v>45686</v>
      </c>
      <c r="F26" s="158">
        <v>18</v>
      </c>
      <c r="G26" s="158" t="s">
        <v>104</v>
      </c>
      <c r="H26" s="160">
        <v>0.1114</v>
      </c>
      <c r="I26" s="160">
        <v>0.2994</v>
      </c>
      <c r="J26" s="160">
        <v>0.35299999999999998</v>
      </c>
      <c r="K26" s="160">
        <v>0.1714</v>
      </c>
      <c r="L26" s="160">
        <v>3.3799999999999997E-2</v>
      </c>
      <c r="M26" s="160">
        <v>1.7399999999999999E-2</v>
      </c>
      <c r="N26" s="160">
        <v>1.3599999999999999E-2</v>
      </c>
      <c r="O26" s="239">
        <v>3732</v>
      </c>
      <c r="R26" s="233">
        <v>0.74729999999999996</v>
      </c>
      <c r="S26" s="92">
        <v>0.73370000000000002</v>
      </c>
      <c r="T26" s="85">
        <v>0.26300000000000001</v>
      </c>
      <c r="U26" s="230">
        <v>6.0999999999999999E-2</v>
      </c>
      <c r="V26" s="236">
        <f t="shared" si="3"/>
        <v>2788.9236000000001</v>
      </c>
      <c r="W26" s="237">
        <f t="shared" si="4"/>
        <v>3504.3480000000004</v>
      </c>
      <c r="X26" s="236">
        <f t="shared" si="5"/>
        <v>2571.1401276000001</v>
      </c>
      <c r="Y26" s="160">
        <v>0.55925999999999998</v>
      </c>
      <c r="AA26" s="85">
        <v>9.8000000000000004E-2</v>
      </c>
      <c r="AC26" s="85"/>
      <c r="AD26" s="85"/>
      <c r="AE26" s="85"/>
      <c r="AF26" s="85"/>
      <c r="AG26" s="85"/>
      <c r="AH26" s="85"/>
    </row>
    <row r="27" spans="1:34" s="66" customFormat="1" x14ac:dyDescent="0.3">
      <c r="A27" s="158" t="s">
        <v>0</v>
      </c>
      <c r="B27" s="158" t="s">
        <v>1</v>
      </c>
      <c r="C27" s="158" t="s">
        <v>135</v>
      </c>
      <c r="D27" s="158" t="s">
        <v>3</v>
      </c>
      <c r="E27" s="159">
        <v>45686</v>
      </c>
      <c r="F27" s="158">
        <v>18</v>
      </c>
      <c r="G27" s="158" t="s">
        <v>104</v>
      </c>
      <c r="H27" s="160">
        <v>0.1108</v>
      </c>
      <c r="I27" s="160">
        <v>0.29970000000000002</v>
      </c>
      <c r="J27" s="160">
        <v>0.35320000000000001</v>
      </c>
      <c r="K27" s="160">
        <v>0.1711</v>
      </c>
      <c r="L27" s="160">
        <v>3.39E-2</v>
      </c>
      <c r="M27" s="160">
        <v>1.7500000000000002E-2</v>
      </c>
      <c r="N27" s="160">
        <v>1.38E-2</v>
      </c>
      <c r="O27" s="239">
        <v>3708</v>
      </c>
      <c r="R27" s="233">
        <v>0.74080000000000001</v>
      </c>
      <c r="S27" s="92">
        <v>0.74080000000000001</v>
      </c>
      <c r="T27" s="85">
        <v>0.29199999999999998</v>
      </c>
      <c r="U27" s="230">
        <v>0</v>
      </c>
      <c r="V27" s="236">
        <f t="shared" si="3"/>
        <v>2746.8863999999999</v>
      </c>
      <c r="W27" s="237">
        <f t="shared" si="4"/>
        <v>3708</v>
      </c>
      <c r="X27" s="236">
        <f t="shared" si="5"/>
        <v>2746.8863999999999</v>
      </c>
      <c r="Y27" s="160">
        <v>0.56030999999999997</v>
      </c>
      <c r="AA27" s="85">
        <v>0.11</v>
      </c>
      <c r="AC27" s="85"/>
      <c r="AD27" s="85"/>
      <c r="AE27" s="85"/>
      <c r="AF27" s="85"/>
      <c r="AG27" s="85"/>
      <c r="AH27" s="85"/>
    </row>
    <row r="28" spans="1:34" s="66" customFormat="1" x14ac:dyDescent="0.3">
      <c r="A28" s="158" t="s">
        <v>0</v>
      </c>
      <c r="B28" s="158" t="s">
        <v>14</v>
      </c>
      <c r="C28" s="158" t="s">
        <v>135</v>
      </c>
      <c r="D28" s="158" t="s">
        <v>3</v>
      </c>
      <c r="E28" s="159">
        <v>45686</v>
      </c>
      <c r="F28" s="158">
        <v>18</v>
      </c>
      <c r="G28" s="158" t="s">
        <v>104</v>
      </c>
      <c r="H28" s="160">
        <v>0.59089999999999998</v>
      </c>
      <c r="I28" s="160">
        <v>0.2228</v>
      </c>
      <c r="J28" s="160">
        <v>0.1305</v>
      </c>
      <c r="K28" s="160">
        <v>4.2599999999999999E-2</v>
      </c>
      <c r="L28" s="160">
        <v>7.9000000000000008E-3</v>
      </c>
      <c r="M28" s="160">
        <v>3.0000000000000001E-3</v>
      </c>
      <c r="N28" s="160">
        <v>2.3E-3</v>
      </c>
      <c r="O28" s="239">
        <v>3732</v>
      </c>
      <c r="R28" s="233">
        <v>0.93030000000000002</v>
      </c>
      <c r="S28" s="92">
        <v>0.83499999999999996</v>
      </c>
      <c r="T28" s="85">
        <v>6.0000000000000001E-3</v>
      </c>
      <c r="U28" s="230">
        <v>0.622</v>
      </c>
      <c r="V28" s="236">
        <f t="shared" si="3"/>
        <v>3471.8796000000002</v>
      </c>
      <c r="W28" s="237">
        <f t="shared" si="4"/>
        <v>1410.6959999999999</v>
      </c>
      <c r="X28" s="236">
        <f t="shared" si="5"/>
        <v>1177.9311599999999</v>
      </c>
      <c r="Y28" s="160">
        <v>0.66054000000000002</v>
      </c>
      <c r="AA28" s="85">
        <v>2E-3</v>
      </c>
      <c r="AC28" s="85"/>
      <c r="AD28" s="85"/>
      <c r="AE28" s="85"/>
      <c r="AF28" s="85"/>
      <c r="AG28" s="85"/>
      <c r="AH28" s="85"/>
    </row>
    <row r="29" spans="1:34" s="66" customFormat="1" x14ac:dyDescent="0.3">
      <c r="A29" s="158" t="s">
        <v>0</v>
      </c>
      <c r="B29" s="158" t="s">
        <v>14</v>
      </c>
      <c r="C29" s="158" t="s">
        <v>135</v>
      </c>
      <c r="D29" s="158" t="s">
        <v>3</v>
      </c>
      <c r="E29" s="159">
        <v>45686</v>
      </c>
      <c r="F29" s="158">
        <v>18</v>
      </c>
      <c r="G29" s="158" t="s">
        <v>104</v>
      </c>
      <c r="H29" s="160">
        <v>0.27529999999999999</v>
      </c>
      <c r="I29" s="160">
        <v>0.31630000000000003</v>
      </c>
      <c r="J29" s="160">
        <v>0.27700000000000002</v>
      </c>
      <c r="K29" s="160">
        <v>0.1163</v>
      </c>
      <c r="L29" s="160">
        <v>9.9000000000000008E-3</v>
      </c>
      <c r="M29" s="160">
        <v>3.0000000000000001E-3</v>
      </c>
      <c r="N29" s="160">
        <v>2.3E-3</v>
      </c>
      <c r="O29" s="239">
        <v>3708</v>
      </c>
      <c r="R29" s="233">
        <v>0.69010000000000005</v>
      </c>
      <c r="S29" s="92">
        <v>0.69010000000000005</v>
      </c>
      <c r="T29" s="85">
        <v>0.27100000000000002</v>
      </c>
      <c r="U29" s="230">
        <v>0</v>
      </c>
      <c r="V29" s="236">
        <f t="shared" si="3"/>
        <v>2558.8908000000001</v>
      </c>
      <c r="W29" s="237">
        <f t="shared" si="4"/>
        <v>3708</v>
      </c>
      <c r="X29" s="236">
        <f t="shared" si="5"/>
        <v>2558.8908000000001</v>
      </c>
      <c r="Y29" s="160">
        <v>0.56399999999999995</v>
      </c>
      <c r="AA29" s="85">
        <v>0.1</v>
      </c>
      <c r="AC29" s="85"/>
      <c r="AD29" s="85"/>
      <c r="AE29" s="85"/>
      <c r="AF29" s="85"/>
      <c r="AG29" s="85"/>
      <c r="AH29" s="85"/>
    </row>
    <row r="30" spans="1:34" s="77" customFormat="1" x14ac:dyDescent="0.3">
      <c r="A30" s="83" t="s">
        <v>0</v>
      </c>
      <c r="B30" s="83" t="s">
        <v>1</v>
      </c>
      <c r="C30" s="83"/>
      <c r="D30" s="83" t="s">
        <v>3</v>
      </c>
      <c r="E30" s="84">
        <v>45688</v>
      </c>
      <c r="F30" s="83">
        <v>18</v>
      </c>
      <c r="G30" s="83" t="s">
        <v>104</v>
      </c>
      <c r="H30" s="110" t="s">
        <v>143</v>
      </c>
      <c r="I30" s="110" t="s">
        <v>144</v>
      </c>
      <c r="J30" s="110" t="s">
        <v>87</v>
      </c>
      <c r="K30" s="110" t="s">
        <v>145</v>
      </c>
      <c r="L30" s="110" t="s">
        <v>146</v>
      </c>
      <c r="M30" s="110" t="s">
        <v>147</v>
      </c>
      <c r="N30" s="110" t="s">
        <v>148</v>
      </c>
      <c r="O30" s="110">
        <v>3816</v>
      </c>
      <c r="R30" s="240">
        <v>0.7379</v>
      </c>
      <c r="S30" s="112">
        <v>0.7379</v>
      </c>
      <c r="T30" s="110">
        <v>0.28000000000000003</v>
      </c>
      <c r="U30" s="212">
        <v>0</v>
      </c>
      <c r="V30" s="236">
        <f t="shared" ref="V30:V33" si="6">O30*R30</f>
        <v>2815.8263999999999</v>
      </c>
      <c r="W30" s="237">
        <f t="shared" ref="W30:W33" si="7">O30*(1-U30)</f>
        <v>3816</v>
      </c>
      <c r="X30" s="236">
        <f t="shared" ref="X30:X33" si="8">S30*W30</f>
        <v>2815.8263999999999</v>
      </c>
      <c r="Y30" s="160">
        <v>1.5640000000000001</v>
      </c>
      <c r="Z30" s="110">
        <v>0.104</v>
      </c>
      <c r="AA30" s="112">
        <v>0.56357999999999997</v>
      </c>
      <c r="AB30" s="112">
        <v>0.56357999999999997</v>
      </c>
      <c r="AC30" s="110">
        <v>0.83099999999999996</v>
      </c>
      <c r="AD30" s="110"/>
      <c r="AE30" s="110"/>
      <c r="AF30" s="110"/>
    </row>
    <row r="31" spans="1:34" s="77" customFormat="1" x14ac:dyDescent="0.3">
      <c r="A31" s="83" t="s">
        <v>0</v>
      </c>
      <c r="B31" s="83" t="s">
        <v>1</v>
      </c>
      <c r="C31" s="83"/>
      <c r="D31" s="83" t="s">
        <v>3</v>
      </c>
      <c r="E31" s="84">
        <v>45688</v>
      </c>
      <c r="F31" s="83">
        <v>18</v>
      </c>
      <c r="G31" s="83" t="s">
        <v>104</v>
      </c>
      <c r="H31" s="110" t="s">
        <v>149</v>
      </c>
      <c r="I31" s="110" t="s">
        <v>144</v>
      </c>
      <c r="J31" s="110" t="s">
        <v>87</v>
      </c>
      <c r="K31" s="110" t="s">
        <v>150</v>
      </c>
      <c r="L31" s="110" t="s">
        <v>151</v>
      </c>
      <c r="M31" s="110" t="s">
        <v>152</v>
      </c>
      <c r="N31" s="110" t="s">
        <v>148</v>
      </c>
      <c r="O31" s="110">
        <v>3786</v>
      </c>
      <c r="R31" s="240">
        <v>0.74480000000000002</v>
      </c>
      <c r="S31" s="112">
        <v>0.74480000000000002</v>
      </c>
      <c r="T31" s="110">
        <v>0.27200000000000002</v>
      </c>
      <c r="U31" s="212">
        <v>0</v>
      </c>
      <c r="V31" s="236">
        <f t="shared" si="6"/>
        <v>2819.8128000000002</v>
      </c>
      <c r="W31" s="237">
        <f t="shared" si="7"/>
        <v>3786</v>
      </c>
      <c r="X31" s="236">
        <f t="shared" si="8"/>
        <v>2819.8128000000002</v>
      </c>
      <c r="Y31" s="160">
        <v>2.5640000000000001</v>
      </c>
      <c r="Z31" s="110">
        <v>0.10100000000000001</v>
      </c>
      <c r="AA31" s="112">
        <v>0.55823</v>
      </c>
      <c r="AB31" s="112">
        <v>0.55823</v>
      </c>
      <c r="AC31" s="110">
        <v>0.83499999999999996</v>
      </c>
      <c r="AD31" s="110"/>
      <c r="AE31" s="110"/>
      <c r="AF31" s="110"/>
    </row>
    <row r="32" spans="1:34" s="77" customFormat="1" x14ac:dyDescent="0.3">
      <c r="A32" s="83" t="s">
        <v>0</v>
      </c>
      <c r="B32" s="83" t="s">
        <v>1</v>
      </c>
      <c r="C32" s="83" t="s">
        <v>15</v>
      </c>
      <c r="D32" s="83" t="s">
        <v>3</v>
      </c>
      <c r="E32" s="84">
        <v>45688</v>
      </c>
      <c r="F32" s="83">
        <v>18</v>
      </c>
      <c r="G32" s="83" t="s">
        <v>104</v>
      </c>
      <c r="H32" s="110" t="s">
        <v>143</v>
      </c>
      <c r="I32" s="110" t="s">
        <v>153</v>
      </c>
      <c r="J32" s="110" t="s">
        <v>154</v>
      </c>
      <c r="K32" s="110" t="s">
        <v>155</v>
      </c>
      <c r="L32" s="110" t="s">
        <v>156</v>
      </c>
      <c r="M32" s="110" t="s">
        <v>157</v>
      </c>
      <c r="N32" s="110" t="s">
        <v>158</v>
      </c>
      <c r="O32" s="110">
        <v>3636</v>
      </c>
      <c r="R32" s="112">
        <v>0.75190000000000001</v>
      </c>
      <c r="S32" s="112">
        <v>0.75190000000000001</v>
      </c>
      <c r="T32" s="110">
        <v>0.26</v>
      </c>
      <c r="U32" s="212">
        <v>0</v>
      </c>
      <c r="V32" s="236">
        <f t="shared" si="6"/>
        <v>2733.9084000000003</v>
      </c>
      <c r="W32" s="237">
        <f t="shared" si="7"/>
        <v>3636</v>
      </c>
      <c r="X32" s="236">
        <f t="shared" si="8"/>
        <v>2733.9084000000003</v>
      </c>
      <c r="Y32" s="160">
        <v>3.5640000000000001</v>
      </c>
      <c r="Z32" s="110">
        <v>9.7000000000000003E-2</v>
      </c>
      <c r="AA32" s="112">
        <v>0.55159999999999998</v>
      </c>
      <c r="AB32" s="112">
        <v>0.55159999999999998</v>
      </c>
      <c r="AC32" s="110">
        <v>0.84399999999999997</v>
      </c>
      <c r="AD32" s="110"/>
      <c r="AE32" s="110"/>
      <c r="AF32" s="110"/>
    </row>
    <row r="33" spans="1:32" s="77" customFormat="1" x14ac:dyDescent="0.3">
      <c r="A33" s="83" t="s">
        <v>0</v>
      </c>
      <c r="B33" s="83" t="s">
        <v>1</v>
      </c>
      <c r="C33" s="83" t="s">
        <v>15</v>
      </c>
      <c r="D33" s="83" t="s">
        <v>3</v>
      </c>
      <c r="E33" s="84">
        <v>45688</v>
      </c>
      <c r="F33" s="83">
        <v>18</v>
      </c>
      <c r="G33" s="83" t="s">
        <v>104</v>
      </c>
      <c r="H33" s="110" t="s">
        <v>159</v>
      </c>
      <c r="I33" s="110" t="s">
        <v>160</v>
      </c>
      <c r="J33" s="110" t="s">
        <v>161</v>
      </c>
      <c r="K33" s="110" t="s">
        <v>162</v>
      </c>
      <c r="L33" s="110" t="s">
        <v>163</v>
      </c>
      <c r="M33" s="110" t="s">
        <v>157</v>
      </c>
      <c r="N33" s="110" t="s">
        <v>164</v>
      </c>
      <c r="O33" s="110">
        <v>3624</v>
      </c>
      <c r="R33" s="112">
        <v>0.75280000000000002</v>
      </c>
      <c r="S33" s="112">
        <v>0.74219999999999997</v>
      </c>
      <c r="T33" s="110">
        <v>0.27300000000000002</v>
      </c>
      <c r="U33" s="212">
        <v>4.1000000000000002E-2</v>
      </c>
      <c r="V33" s="236">
        <f t="shared" si="6"/>
        <v>2728.1471999999999</v>
      </c>
      <c r="W33" s="237">
        <f t="shared" si="7"/>
        <v>3475.4159999999997</v>
      </c>
      <c r="X33" s="236">
        <f t="shared" si="8"/>
        <v>2579.4537551999997</v>
      </c>
      <c r="Y33" s="160">
        <v>4.5640000000000001</v>
      </c>
      <c r="Z33" s="110">
        <v>0.10100000000000001</v>
      </c>
      <c r="AA33" s="112">
        <v>0.56257000000000001</v>
      </c>
      <c r="AB33" s="112">
        <v>0.54954000000000003</v>
      </c>
      <c r="AC33" s="110">
        <v>0.82899999999999996</v>
      </c>
      <c r="AD33" s="110"/>
      <c r="AE33" s="110"/>
      <c r="AF33" s="110"/>
    </row>
    <row r="34" spans="1:32" x14ac:dyDescent="0.3">
      <c r="O34" s="70"/>
      <c r="P34" s="14"/>
      <c r="Q34" s="14"/>
      <c r="R34" s="131"/>
      <c r="S34" s="94"/>
      <c r="T34" s="14"/>
      <c r="U34" s="7"/>
      <c r="V34" s="35"/>
      <c r="W34" s="31"/>
      <c r="X34" s="35"/>
    </row>
    <row r="35" spans="1:32" x14ac:dyDescent="0.3">
      <c r="O35" s="70"/>
      <c r="P35" s="14"/>
      <c r="Q35" s="14"/>
      <c r="R35" s="131"/>
      <c r="S35" s="94"/>
      <c r="T35" s="14"/>
      <c r="U35" s="7"/>
      <c r="V35" s="35"/>
      <c r="W35" s="31"/>
      <c r="X35" s="35"/>
    </row>
    <row r="36" spans="1:32" s="1" customFormat="1" x14ac:dyDescent="0.3">
      <c r="I36" s="55" t="s">
        <v>39</v>
      </c>
      <c r="J36" s="56"/>
      <c r="K36" s="56"/>
      <c r="L36" s="56"/>
      <c r="M36" s="56"/>
      <c r="N36" s="56"/>
      <c r="O36" s="61">
        <f>SUM(O2:O35)</f>
        <v>117960</v>
      </c>
      <c r="P36" s="57"/>
      <c r="Q36" s="57"/>
      <c r="R36" s="164">
        <f t="shared" ref="R36:R48" si="9">V36/O36</f>
        <v>0.79336690233977636</v>
      </c>
      <c r="S36" s="163">
        <f>X36/W36</f>
        <v>0.75305319621988909</v>
      </c>
      <c r="T36" s="57"/>
      <c r="U36" s="59"/>
      <c r="V36" s="60">
        <f>SUM(V2:V35)</f>
        <v>93585.559800000017</v>
      </c>
      <c r="W36" s="61">
        <f>SUM(W2:W35)</f>
        <v>97161.587999999989</v>
      </c>
      <c r="X36" s="62">
        <f>SUM(X2:X35)</f>
        <v>73167.844393200008</v>
      </c>
    </row>
    <row r="37" spans="1:32" s="1" customFormat="1" x14ac:dyDescent="0.3">
      <c r="I37" s="55" t="s">
        <v>43</v>
      </c>
      <c r="J37" s="56"/>
      <c r="K37" s="56"/>
      <c r="L37" s="56"/>
      <c r="M37" s="56"/>
      <c r="N37" s="56"/>
      <c r="O37" s="61">
        <f>SUMIF(B1:B34,"CLUSTER",O1:O34)</f>
        <v>51558</v>
      </c>
      <c r="P37" s="57"/>
      <c r="Q37" s="57"/>
      <c r="R37" s="164">
        <f t="shared" si="9"/>
        <v>0.74808522052833692</v>
      </c>
      <c r="S37" s="163">
        <f t="shared" ref="S37:S48" si="10">X37/W37</f>
        <v>0.74450698744064669</v>
      </c>
      <c r="T37" s="57"/>
      <c r="U37" s="59"/>
      <c r="V37" s="60">
        <f>SUMIF(B1:B35,"CLUSTER",V1:V35)</f>
        <v>38569.777799999996</v>
      </c>
      <c r="W37" s="61">
        <f>SUMIF(B1:B35,"CLUSTER",W1:W35)</f>
        <v>50727.929999999993</v>
      </c>
      <c r="X37" s="62">
        <f>SUMIF(B1:B35,"CLUSTER",X1:X35)</f>
        <v>37767.298343399998</v>
      </c>
    </row>
    <row r="38" spans="1:32" x14ac:dyDescent="0.3">
      <c r="I38" s="104" t="s">
        <v>41</v>
      </c>
      <c r="J38" s="105"/>
      <c r="K38" s="105"/>
      <c r="L38" s="105"/>
      <c r="M38" s="105"/>
      <c r="N38" s="105"/>
      <c r="O38" s="167">
        <f>SUMIFS(O1:O34,B1:B34,"CLUSTER",C1:C34,"")</f>
        <v>14544</v>
      </c>
      <c r="P38" s="168"/>
      <c r="Q38" s="168"/>
      <c r="R38" s="169">
        <f t="shared" si="9"/>
        <v>0.74427194719471945</v>
      </c>
      <c r="S38" s="170">
        <f t="shared" si="10"/>
        <v>0.74078682045146438</v>
      </c>
      <c r="T38" s="168"/>
      <c r="U38" s="171"/>
      <c r="V38" s="172">
        <f>SUMIFS(V1:V35,B1:B35,"CLUSTER", C1:C35,"")</f>
        <v>10824.691199999999</v>
      </c>
      <c r="W38" s="167">
        <f>SUMIFS(W1:W35,B1:B35,"CLUSTER", C1:C35,"")</f>
        <v>14317.41</v>
      </c>
      <c r="X38" s="173">
        <f>SUMIFS(X1:X35,B1:B35,"CLUSTER", C1:C35,"")</f>
        <v>10606.148631</v>
      </c>
    </row>
    <row r="39" spans="1:32" x14ac:dyDescent="0.3">
      <c r="I39" s="43" t="s">
        <v>40</v>
      </c>
      <c r="O39" s="45">
        <f>SUMIFS(O2:O35,B2:B35,"CLUSTER",C2:C35,"power_loss")</f>
        <v>14670</v>
      </c>
      <c r="P39" s="14"/>
      <c r="Q39" s="14"/>
      <c r="R39" s="165">
        <f t="shared" si="9"/>
        <v>0.74738196319018402</v>
      </c>
      <c r="S39" s="166">
        <f t="shared" si="10"/>
        <v>0.74738196319018402</v>
      </c>
      <c r="T39" s="14"/>
      <c r="U39" s="7"/>
      <c r="V39" s="44">
        <f>SUMIFS(V2:V35,B2:B35,"CLUSTER", C2:C35,"power_loss")</f>
        <v>10964.0934</v>
      </c>
      <c r="W39" s="31">
        <f>SUMIFS(W2:W35,B2:B35,"CLUSTER", C2:C35,"power_loss")</f>
        <v>14670</v>
      </c>
      <c r="X39" s="47">
        <f>SUMIFS(X2:X35,B2:B35,"CLUSTER", C2:C35,"power_loss")</f>
        <v>10964.0934</v>
      </c>
    </row>
    <row r="40" spans="1:32" x14ac:dyDescent="0.3">
      <c r="I40" s="43" t="s">
        <v>42</v>
      </c>
      <c r="O40" s="31">
        <f>SUMIFS(O2:O35,B2:B35,"CLUSTER",C2:C35,"min_loss")</f>
        <v>10986</v>
      </c>
      <c r="P40" s="14"/>
      <c r="Q40" s="14"/>
      <c r="R40" s="165">
        <f t="shared" si="9"/>
        <v>0.75297695248498087</v>
      </c>
      <c r="S40" s="166">
        <f t="shared" si="10"/>
        <v>0.74958009872464071</v>
      </c>
      <c r="T40" s="14"/>
      <c r="U40" s="7"/>
      <c r="V40" s="35">
        <f>SUMIFS(V2:V35,B2:B35,"CLUSTER", C2:C35,"min_loss")</f>
        <v>8272.2047999999995</v>
      </c>
      <c r="W40" s="31">
        <f>SUMIFS(W2:W35,B2:B35,"CLUSTER", C2:C35,"min_loss")</f>
        <v>10837.415999999999</v>
      </c>
      <c r="X40" s="47">
        <f>SUMIFS(X2:X35,B2:B35,"CLUSTER", C2:C35,"min_loss")</f>
        <v>8123.5113552000003</v>
      </c>
    </row>
    <row r="41" spans="1:32" x14ac:dyDescent="0.3">
      <c r="I41" s="43" t="s">
        <v>134</v>
      </c>
      <c r="O41" s="31">
        <f>SUMIFS(O2:O35,B2:B35,"CLUSTER",C2:C35,"sampling_nb")</f>
        <v>7440</v>
      </c>
      <c r="P41" s="14"/>
      <c r="Q41" s="14"/>
      <c r="R41" s="165">
        <f t="shared" si="9"/>
        <v>0.74406048387096768</v>
      </c>
      <c r="S41" s="166">
        <f t="shared" si="10"/>
        <v>0.73735023983867665</v>
      </c>
      <c r="T41" s="14"/>
      <c r="U41" s="7"/>
      <c r="V41" s="35">
        <f>SUMIFS(V2:V35,B2:B35,"CLUSTER", C2:C35,"sampling_nb")</f>
        <v>5535.8099999999995</v>
      </c>
      <c r="W41" s="31">
        <f>SUMIFS(W2:W35,B2:B35,"CLUSTER", C2:C35,"sampling_nb")</f>
        <v>7212.348</v>
      </c>
      <c r="X41" s="47">
        <f>SUMIFS(X2:X35,B2:B35,"CLUSTER", C2:C35,"sampling_nb")</f>
        <v>5318.0265276</v>
      </c>
    </row>
    <row r="42" spans="1:32" x14ac:dyDescent="0.3">
      <c r="I42" s="48" t="s">
        <v>123</v>
      </c>
      <c r="J42" s="49"/>
      <c r="K42" s="49"/>
      <c r="L42" s="49"/>
      <c r="M42" s="49"/>
      <c r="N42" s="49"/>
      <c r="O42" s="53">
        <f>SUMIFS(O2:O35,B2:B35,"CLUSTER",C2:C35,"dist_power_hist")</f>
        <v>3918</v>
      </c>
      <c r="P42" s="50"/>
      <c r="Q42" s="50"/>
      <c r="R42" s="165">
        <f t="shared" si="9"/>
        <v>0.75880000000000003</v>
      </c>
      <c r="S42" s="166">
        <f t="shared" si="10"/>
        <v>0.74660000000000004</v>
      </c>
      <c r="T42" s="50"/>
      <c r="U42" s="51"/>
      <c r="V42" s="52">
        <f>SUMIFS(V2:V35,B2:B35,"CLUSTER", C2:C35,"dist_power_hist")</f>
        <v>2972.9784</v>
      </c>
      <c r="W42" s="53">
        <f>SUMIFS(W2:W35,B2:B35,"CLUSTER", C2:C35,"dist_power_hist")</f>
        <v>3690.7559999999999</v>
      </c>
      <c r="X42" s="54">
        <f>SUMIFS(X2:X35,B2:B35,"CLUSTER", C2:C35,"dist_power_hist")</f>
        <v>2755.5184296000002</v>
      </c>
    </row>
    <row r="43" spans="1:32" s="1" customFormat="1" x14ac:dyDescent="0.3">
      <c r="I43" s="55" t="s">
        <v>44</v>
      </c>
      <c r="J43" s="56"/>
      <c r="K43" s="56"/>
      <c r="L43" s="56"/>
      <c r="M43" s="56"/>
      <c r="N43" s="56"/>
      <c r="O43" s="64">
        <f>SUMIF(B1:B34,"NODE",O1:O34)</f>
        <v>62784</v>
      </c>
      <c r="P43" s="57"/>
      <c r="Q43" s="57"/>
      <c r="R43" s="164">
        <f t="shared" si="9"/>
        <v>0.83340840978593278</v>
      </c>
      <c r="S43" s="163">
        <f t="shared" si="10"/>
        <v>0.76396064378597195</v>
      </c>
      <c r="T43" s="57"/>
      <c r="U43" s="59"/>
      <c r="V43" s="63">
        <f>SUMIF(B1:B35,"NODE",V1:V35)</f>
        <v>52324.713600000003</v>
      </c>
      <c r="W43" s="64">
        <f>SUMIF(B1:B35,"NODE",W1:W35)</f>
        <v>42815.657999999996</v>
      </c>
      <c r="X43" s="65">
        <f>SUMIF(B1:B35,"NODE",X1:X35)</f>
        <v>32709.477649799996</v>
      </c>
    </row>
    <row r="44" spans="1:32" x14ac:dyDescent="0.3">
      <c r="I44" s="104" t="s">
        <v>45</v>
      </c>
      <c r="J44" s="105"/>
      <c r="K44" s="105"/>
      <c r="L44" s="105"/>
      <c r="M44" s="105"/>
      <c r="N44" s="105"/>
      <c r="O44" s="174">
        <f>SUMIFS(O1:O34,B1:B34,"NODE",C1:C34,"")</f>
        <v>6840</v>
      </c>
      <c r="P44" s="168"/>
      <c r="Q44" s="168"/>
      <c r="R44" s="169">
        <f t="shared" si="9"/>
        <v>0.83318736842105257</v>
      </c>
      <c r="S44" s="170">
        <f t="shared" si="10"/>
        <v>0.77290316270798931</v>
      </c>
      <c r="T44" s="168"/>
      <c r="U44" s="171"/>
      <c r="V44" s="175">
        <f>SUMIFS(V1:V35,B1:B35,"NODE", C1:C35,"")</f>
        <v>5699.0015999999996</v>
      </c>
      <c r="W44" s="174">
        <f>SUMIFS(W1:W35,B1:B35,"NODE", C1:C35,"")</f>
        <v>4534.848</v>
      </c>
      <c r="X44" s="176">
        <f>SUMIFS(X1:X35,B1:B35,"NODE", C1:C35,"")</f>
        <v>3504.9983616</v>
      </c>
    </row>
    <row r="45" spans="1:32" x14ac:dyDescent="0.3">
      <c r="I45" s="43" t="s">
        <v>46</v>
      </c>
      <c r="O45" s="31">
        <f>SUMIFS(O2:O35,B2:B35,"NODE",C2:C35,"power_loss")</f>
        <v>29442</v>
      </c>
      <c r="P45" s="14"/>
      <c r="Q45" s="14"/>
      <c r="R45" s="177">
        <f t="shared" si="9"/>
        <v>0.85195227226411252</v>
      </c>
      <c r="S45" s="166">
        <f t="shared" si="10"/>
        <v>0.79168245433025597</v>
      </c>
      <c r="T45" s="14"/>
      <c r="U45" s="7"/>
      <c r="V45" s="35">
        <f>SUMIFS(V2:V35,B2:B35,"NODE", C2:C35,"power_loss")</f>
        <v>25083.178800000002</v>
      </c>
      <c r="W45" s="31">
        <f>SUMIFS(W2:W35,B2:B35,"NODE", C2:C35,"power_loss")</f>
        <v>20923.59</v>
      </c>
      <c r="X45" s="47">
        <f>SUMIFS(X2:X35,B2:B35,"NODE", C2:C35,"power_loss")</f>
        <v>16564.8390846</v>
      </c>
    </row>
    <row r="46" spans="1:32" x14ac:dyDescent="0.3">
      <c r="I46" s="43" t="s">
        <v>47</v>
      </c>
      <c r="O46" s="31">
        <f>SUMIFS(O2:O35,B2:B35,"NODE",C2:C35,"min_loss")</f>
        <v>3726</v>
      </c>
      <c r="P46" s="14"/>
      <c r="Q46" s="14"/>
      <c r="R46" s="165">
        <f t="shared" si="9"/>
        <v>0.88780000000000003</v>
      </c>
      <c r="S46" s="166">
        <f t="shared" si="10"/>
        <v>0.77559999999999985</v>
      </c>
      <c r="T46" s="14"/>
      <c r="U46" s="7"/>
      <c r="V46" s="35">
        <f>SUMIFS(V2:V35,B2:B35,"NODE", C2:C35,"min_loss")</f>
        <v>3307.9428000000003</v>
      </c>
      <c r="W46" s="31">
        <f>SUMIFS(W2:W35,B2:B35,"NODE", C2:C35,"min_loss")</f>
        <v>1863</v>
      </c>
      <c r="X46" s="47">
        <f>SUMIFS(X2:X35,B2:B35,"NODE", C2:C35,"min_loss")</f>
        <v>1444.9427999999998</v>
      </c>
    </row>
    <row r="47" spans="1:32" x14ac:dyDescent="0.3">
      <c r="I47" s="43" t="s">
        <v>133</v>
      </c>
      <c r="O47" s="31">
        <f>SUMIFS(O2:O35,B2:B35,"NODE",C2:C35,"sampling_nb")</f>
        <v>15012</v>
      </c>
      <c r="P47" s="14"/>
      <c r="Q47" s="14"/>
      <c r="R47" s="165">
        <f t="shared" si="9"/>
        <v>0.79607553956834542</v>
      </c>
      <c r="S47" s="166">
        <f t="shared" si="10"/>
        <v>0.7205918425943133</v>
      </c>
      <c r="T47" s="14"/>
      <c r="U47" s="7"/>
      <c r="V47" s="35">
        <f>SUMIFS(V2:V35,B2:B35,"NODE", C2:C35,"sampling_nb")</f>
        <v>11950.686000000002</v>
      </c>
      <c r="W47" s="31">
        <f>SUMIFS(W2:W35,B2:B35,"NODE", C2:C35,"sampling_nb")</f>
        <v>10331.52</v>
      </c>
      <c r="X47" s="47">
        <f>SUMIFS(X2:X35,B2:B35,"NODE", C2:C35,"sampling_nb")</f>
        <v>7444.8090335999996</v>
      </c>
    </row>
    <row r="48" spans="1:32" x14ac:dyDescent="0.3">
      <c r="I48" s="48" t="s">
        <v>124</v>
      </c>
      <c r="J48" s="49"/>
      <c r="K48" s="49"/>
      <c r="L48" s="49"/>
      <c r="M48" s="49"/>
      <c r="N48" s="49"/>
      <c r="O48" s="178">
        <f>SUMIFS(O2:O35,B2:B35,"NODE",C2:C35,"dist_power_hist")</f>
        <v>7764</v>
      </c>
      <c r="P48" s="50"/>
      <c r="Q48" s="50"/>
      <c r="R48" s="165">
        <f t="shared" si="9"/>
        <v>0.80936429675425037</v>
      </c>
      <c r="S48" s="166">
        <f t="shared" si="10"/>
        <v>0.72634248939508395</v>
      </c>
      <c r="T48" s="50"/>
      <c r="U48" s="51"/>
      <c r="V48" s="52">
        <f>SUMIFS(V2:V35,B2:B35,"NODE", C2:C35,"dist_power_hist")</f>
        <v>6283.9043999999994</v>
      </c>
      <c r="W48" s="53">
        <f>SUMIFS(W2:W35,B2:B35,"NODE", C2:C35,"dist_power_hist")</f>
        <v>5162.7</v>
      </c>
      <c r="X48" s="54">
        <f>SUMIFS(X2:X35,B2:B35,"NODE", C2:C35,"dist_power_hist")</f>
        <v>3749.8883699999997</v>
      </c>
    </row>
    <row r="49" spans="2:24" s="1" customFormat="1" x14ac:dyDescent="0.3">
      <c r="B49" s="24"/>
      <c r="O49" s="70"/>
      <c r="P49" s="5"/>
      <c r="Q49" s="5"/>
      <c r="R49" s="130"/>
      <c r="S49" s="132"/>
      <c r="T49" s="14"/>
      <c r="U49" s="7"/>
      <c r="V49" s="36"/>
      <c r="W49" s="32"/>
      <c r="X49" s="36"/>
    </row>
  </sheetData>
  <autoFilter ref="A1:AA33" xr:uid="{6A5CEDA3-8F41-4BD6-9D28-CA9EF01A68F1}"/>
  <conditionalFormatting sqref="R38:R42">
    <cfRule type="colorScale" priority="5">
      <colorScale>
        <cfvo type="min"/>
        <cfvo type="max"/>
        <color rgb="FFFF7128"/>
        <color rgb="FF92D050"/>
      </colorScale>
    </cfRule>
  </conditionalFormatting>
  <conditionalFormatting sqref="R44:R48">
    <cfRule type="colorScale" priority="4">
      <colorScale>
        <cfvo type="min"/>
        <cfvo type="max"/>
        <color rgb="FFFF7128"/>
        <color rgb="FF92D050"/>
      </colorScale>
    </cfRule>
  </conditionalFormatting>
  <conditionalFormatting sqref="S38:S42">
    <cfRule type="colorScale" priority="3">
      <colorScale>
        <cfvo type="min"/>
        <cfvo type="max"/>
        <color rgb="FFFF7128"/>
        <color rgb="FF92D050"/>
      </colorScale>
    </cfRule>
  </conditionalFormatting>
  <conditionalFormatting sqref="S44:S48">
    <cfRule type="colorScale" priority="2">
      <colorScale>
        <cfvo type="min"/>
        <cfvo type="max"/>
        <color rgb="FFFF7128"/>
        <color rgb="FF92D050"/>
      </colorScale>
    </cfRule>
  </conditionalFormatting>
  <conditionalFormatting sqref="U1">
    <cfRule type="cellIs" dxfId="3" priority="6" operator="greaterThan">
      <formula>0</formula>
    </cfRule>
  </conditionalFormatting>
  <conditionalFormatting sqref="U34:U49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0FE74-E1A9-41E5-8BEE-9F176BAC9ED0}">
  <dimension ref="A1:U36"/>
  <sheetViews>
    <sheetView topLeftCell="C1" zoomScaleNormal="100" workbookViewId="0">
      <selection activeCell="H24" sqref="H24"/>
    </sheetView>
  </sheetViews>
  <sheetFormatPr defaultRowHeight="14.4" x14ac:dyDescent="0.3"/>
  <cols>
    <col min="3" max="3" width="15.5546875" customWidth="1"/>
    <col min="5" max="5" width="20.109375" customWidth="1"/>
    <col min="6" max="6" width="9.77734375" customWidth="1"/>
    <col min="7" max="7" width="15" style="114" customWidth="1"/>
    <col min="8" max="8" width="10.33203125" style="90" bestFit="1" customWidth="1"/>
    <col min="9" max="9" width="8.88671875" style="111"/>
    <col min="10" max="10" width="8.88671875" style="94"/>
    <col min="11" max="11" width="14.88671875" style="203" customWidth="1"/>
    <col min="12" max="12" width="11.33203125" style="90" customWidth="1"/>
    <col min="13" max="13" width="14.21875" style="203" customWidth="1"/>
    <col min="14" max="14" width="8.88671875" style="96"/>
  </cols>
  <sheetData>
    <row r="1" spans="1:21" s="86" customFormat="1" ht="28.8" x14ac:dyDescent="0.3">
      <c r="A1" s="85" t="s">
        <v>4</v>
      </c>
      <c r="B1" s="85" t="s">
        <v>5</v>
      </c>
      <c r="C1" s="85" t="s">
        <v>93</v>
      </c>
      <c r="D1" s="85" t="s">
        <v>6</v>
      </c>
      <c r="E1" s="85" t="s">
        <v>94</v>
      </c>
      <c r="F1" s="19" t="s">
        <v>48</v>
      </c>
      <c r="G1" s="19"/>
      <c r="H1" s="89" t="s">
        <v>102</v>
      </c>
      <c r="I1" s="91" t="s">
        <v>95</v>
      </c>
      <c r="J1" s="92" t="s">
        <v>103</v>
      </c>
      <c r="K1" s="198" t="s">
        <v>98</v>
      </c>
      <c r="L1" s="89" t="s">
        <v>99</v>
      </c>
      <c r="M1" s="198" t="s">
        <v>97</v>
      </c>
      <c r="N1" s="95" t="s">
        <v>100</v>
      </c>
    </row>
    <row r="2" spans="1:21" s="77" customFormat="1" x14ac:dyDescent="0.3">
      <c r="A2" s="83" t="s">
        <v>0</v>
      </c>
      <c r="B2" s="83" t="s">
        <v>14</v>
      </c>
      <c r="C2" s="83" t="s">
        <v>135</v>
      </c>
      <c r="D2" s="83" t="s">
        <v>3</v>
      </c>
      <c r="E2" s="84">
        <v>45492</v>
      </c>
      <c r="F2" s="83">
        <v>18</v>
      </c>
      <c r="G2" s="113" t="s">
        <v>104</v>
      </c>
      <c r="H2" s="110">
        <v>3084</v>
      </c>
      <c r="I2" s="87">
        <v>0.99380000000000002</v>
      </c>
      <c r="J2" s="88">
        <v>0.98770000000000002</v>
      </c>
      <c r="K2" s="199">
        <f t="shared" ref="K2:K5" si="0">H2*I2</f>
        <v>3064.8791999999999</v>
      </c>
      <c r="L2" s="100">
        <f t="shared" ref="L2:L5" si="1">H2*(1-N2)</f>
        <v>1542</v>
      </c>
      <c r="M2" s="199">
        <f t="shared" ref="M2:M5" si="2">J2*H2*(1-N2)</f>
        <v>1523.0334</v>
      </c>
      <c r="N2" s="97">
        <v>0.5</v>
      </c>
      <c r="O2" s="110"/>
      <c r="P2" s="110"/>
      <c r="Q2" s="110"/>
      <c r="R2" s="110"/>
      <c r="S2" s="110"/>
      <c r="T2" s="110"/>
    </row>
    <row r="3" spans="1:21" s="77" customFormat="1" x14ac:dyDescent="0.3">
      <c r="A3" s="83" t="s">
        <v>0</v>
      </c>
      <c r="B3" s="83" t="s">
        <v>14</v>
      </c>
      <c r="C3" s="83" t="s">
        <v>135</v>
      </c>
      <c r="D3" s="83" t="s">
        <v>3</v>
      </c>
      <c r="E3" s="84">
        <v>45492</v>
      </c>
      <c r="F3" s="83">
        <v>18</v>
      </c>
      <c r="G3" s="113" t="s">
        <v>104</v>
      </c>
      <c r="H3" s="110">
        <v>3006</v>
      </c>
      <c r="I3" s="87">
        <v>0.87660000000000005</v>
      </c>
      <c r="J3" s="88">
        <v>0.87660000000000005</v>
      </c>
      <c r="K3" s="199">
        <f t="shared" si="0"/>
        <v>2635.0596</v>
      </c>
      <c r="L3" s="100">
        <f t="shared" si="1"/>
        <v>3006</v>
      </c>
      <c r="M3" s="199">
        <f t="shared" si="2"/>
        <v>2635.0596</v>
      </c>
      <c r="N3" s="97">
        <v>0</v>
      </c>
      <c r="O3" s="110"/>
      <c r="P3" s="110"/>
      <c r="Q3" s="110"/>
      <c r="R3" s="110"/>
      <c r="S3" s="110"/>
      <c r="T3" s="110"/>
    </row>
    <row r="4" spans="1:21" s="77" customFormat="1" x14ac:dyDescent="0.3">
      <c r="A4" s="83" t="s">
        <v>0</v>
      </c>
      <c r="B4" s="83" t="s">
        <v>1</v>
      </c>
      <c r="C4" s="83"/>
      <c r="D4" s="83" t="s">
        <v>3</v>
      </c>
      <c r="E4" s="84">
        <v>45492</v>
      </c>
      <c r="F4" s="83">
        <v>18</v>
      </c>
      <c r="G4" s="113" t="s">
        <v>104</v>
      </c>
      <c r="H4" s="110">
        <v>3084</v>
      </c>
      <c r="I4" s="87">
        <v>0.85209999999999997</v>
      </c>
      <c r="J4" s="88">
        <v>0.85209999999999997</v>
      </c>
      <c r="K4" s="199">
        <f t="shared" si="0"/>
        <v>2627.8764000000001</v>
      </c>
      <c r="L4" s="100">
        <f t="shared" si="1"/>
        <v>3084</v>
      </c>
      <c r="M4" s="199">
        <f t="shared" si="2"/>
        <v>2627.8764000000001</v>
      </c>
      <c r="N4" s="97">
        <v>0</v>
      </c>
      <c r="O4" s="110"/>
      <c r="P4" s="110"/>
      <c r="Q4" s="110"/>
      <c r="R4" s="110"/>
      <c r="S4" s="110"/>
      <c r="T4" s="110"/>
    </row>
    <row r="5" spans="1:21" s="77" customFormat="1" x14ac:dyDescent="0.3">
      <c r="A5" s="83" t="s">
        <v>0</v>
      </c>
      <c r="B5" s="83" t="s">
        <v>14</v>
      </c>
      <c r="C5" s="83" t="s">
        <v>2</v>
      </c>
      <c r="D5" s="83" t="s">
        <v>3</v>
      </c>
      <c r="E5" s="84">
        <v>45493</v>
      </c>
      <c r="F5" s="83">
        <v>18</v>
      </c>
      <c r="G5" s="113" t="s">
        <v>104</v>
      </c>
      <c r="H5" s="110">
        <v>2196</v>
      </c>
      <c r="I5" s="87">
        <v>0.9909</v>
      </c>
      <c r="J5" s="88">
        <v>0.98180000000000001</v>
      </c>
      <c r="K5" s="199">
        <f t="shared" si="0"/>
        <v>2176.0164</v>
      </c>
      <c r="L5" s="100">
        <f t="shared" si="1"/>
        <v>1098</v>
      </c>
      <c r="M5" s="199">
        <f t="shared" si="2"/>
        <v>1078.0164</v>
      </c>
      <c r="N5" s="110">
        <v>0.5</v>
      </c>
      <c r="O5" s="110"/>
      <c r="P5" s="110"/>
      <c r="Q5" s="110"/>
      <c r="R5" s="110"/>
      <c r="S5" s="110"/>
      <c r="T5" s="110"/>
    </row>
    <row r="6" spans="1:21" s="77" customFormat="1" x14ac:dyDescent="0.3">
      <c r="A6" s="83" t="s">
        <v>0</v>
      </c>
      <c r="B6" s="83" t="s">
        <v>14</v>
      </c>
      <c r="C6" s="83" t="s">
        <v>2</v>
      </c>
      <c r="D6" s="83" t="s">
        <v>3</v>
      </c>
      <c r="E6" s="84">
        <v>45493</v>
      </c>
      <c r="F6" s="83">
        <v>18</v>
      </c>
      <c r="G6" s="113" t="s">
        <v>104</v>
      </c>
      <c r="H6" s="110">
        <v>2166</v>
      </c>
      <c r="I6" s="87">
        <v>0.89339999999999997</v>
      </c>
      <c r="J6" s="88">
        <v>0.89339999999999997</v>
      </c>
      <c r="K6" s="199">
        <f t="shared" ref="K6:K15" si="3">H6*I6</f>
        <v>1935.1043999999999</v>
      </c>
      <c r="L6" s="100">
        <f t="shared" ref="L6:L15" si="4">H6*(1-N6)</f>
        <v>2166</v>
      </c>
      <c r="M6" s="199">
        <f t="shared" ref="M6:M15" si="5">J6*H6*(1-N6)</f>
        <v>1935.1043999999999</v>
      </c>
      <c r="N6" s="110">
        <v>0</v>
      </c>
      <c r="O6" s="110"/>
      <c r="P6" s="110"/>
      <c r="Q6" s="110"/>
      <c r="R6" s="110"/>
      <c r="S6" s="110"/>
      <c r="T6" s="110"/>
    </row>
    <row r="7" spans="1:21" s="77" customFormat="1" x14ac:dyDescent="0.3">
      <c r="A7" s="83" t="s">
        <v>0</v>
      </c>
      <c r="B7" s="83" t="s">
        <v>1</v>
      </c>
      <c r="C7" s="83" t="s">
        <v>2</v>
      </c>
      <c r="D7" s="83" t="s">
        <v>3</v>
      </c>
      <c r="E7" s="84">
        <v>45493</v>
      </c>
      <c r="F7" s="83">
        <v>18</v>
      </c>
      <c r="G7" s="113" t="s">
        <v>104</v>
      </c>
      <c r="H7" s="110">
        <v>2196</v>
      </c>
      <c r="I7" s="87">
        <v>0.89029999999999998</v>
      </c>
      <c r="J7" s="88">
        <v>0.89029999999999998</v>
      </c>
      <c r="K7" s="199">
        <f t="shared" si="3"/>
        <v>1955.0988</v>
      </c>
      <c r="L7" s="100">
        <f t="shared" si="4"/>
        <v>2196</v>
      </c>
      <c r="M7" s="199">
        <f t="shared" si="5"/>
        <v>1955.0988</v>
      </c>
      <c r="N7" s="110">
        <v>0</v>
      </c>
      <c r="O7" s="110"/>
      <c r="P7" s="110"/>
      <c r="Q7" s="110"/>
      <c r="R7" s="110"/>
      <c r="S7" s="110"/>
      <c r="T7" s="110"/>
    </row>
    <row r="8" spans="1:21" s="77" customFormat="1" x14ac:dyDescent="0.3">
      <c r="A8" s="83" t="s">
        <v>0</v>
      </c>
      <c r="B8" s="83" t="s">
        <v>14</v>
      </c>
      <c r="C8" s="83"/>
      <c r="D8" s="83" t="s">
        <v>3</v>
      </c>
      <c r="E8" s="84">
        <v>45496</v>
      </c>
      <c r="F8" s="83">
        <v>18</v>
      </c>
      <c r="G8" s="113" t="s">
        <v>104</v>
      </c>
      <c r="H8" s="110">
        <v>3390</v>
      </c>
      <c r="I8" s="87">
        <v>0.99650000000000005</v>
      </c>
      <c r="J8" s="88">
        <v>0.99229999999999996</v>
      </c>
      <c r="K8" s="199">
        <f t="shared" si="3"/>
        <v>3378.1350000000002</v>
      </c>
      <c r="L8" s="100">
        <f t="shared" si="4"/>
        <v>1831.9559999999999</v>
      </c>
      <c r="M8" s="199">
        <f t="shared" si="5"/>
        <v>1817.8499388</v>
      </c>
      <c r="N8" s="110">
        <v>0.45960000000000001</v>
      </c>
      <c r="O8" s="110"/>
      <c r="P8" s="110"/>
      <c r="Q8" s="110"/>
      <c r="R8" s="110"/>
      <c r="S8" s="110"/>
      <c r="T8" s="110"/>
    </row>
    <row r="9" spans="1:21" s="77" customFormat="1" x14ac:dyDescent="0.3">
      <c r="A9" s="83" t="s">
        <v>0</v>
      </c>
      <c r="B9" s="83" t="s">
        <v>14</v>
      </c>
      <c r="C9" s="83"/>
      <c r="D9" s="83" t="s">
        <v>3</v>
      </c>
      <c r="E9" s="84">
        <v>45496</v>
      </c>
      <c r="F9" s="83">
        <v>18</v>
      </c>
      <c r="G9" s="113" t="s">
        <v>104</v>
      </c>
      <c r="H9" s="110">
        <v>3258</v>
      </c>
      <c r="I9" s="87">
        <v>0.92420000000000002</v>
      </c>
      <c r="J9" s="88">
        <v>0.92090000000000005</v>
      </c>
      <c r="K9" s="199">
        <f t="shared" si="3"/>
        <v>3011.0436</v>
      </c>
      <c r="L9" s="100">
        <f t="shared" si="4"/>
        <v>3059.2620000000002</v>
      </c>
      <c r="M9" s="199">
        <f t="shared" si="5"/>
        <v>2817.2743758000006</v>
      </c>
      <c r="N9" s="110">
        <v>6.0999999999999999E-2</v>
      </c>
      <c r="O9" s="110"/>
      <c r="P9" s="110"/>
      <c r="Q9" s="110"/>
      <c r="R9" s="110"/>
      <c r="S9" s="110"/>
      <c r="T9" s="110"/>
    </row>
    <row r="10" spans="1:21" s="77" customFormat="1" x14ac:dyDescent="0.3">
      <c r="A10" s="83" t="s">
        <v>0</v>
      </c>
      <c r="B10" s="83" t="s">
        <v>1</v>
      </c>
      <c r="C10" s="83"/>
      <c r="D10" s="83" t="s">
        <v>3</v>
      </c>
      <c r="E10" s="84">
        <v>45496</v>
      </c>
      <c r="F10" s="83">
        <v>18</v>
      </c>
      <c r="G10" s="113" t="s">
        <v>104</v>
      </c>
      <c r="H10" s="110">
        <v>3390</v>
      </c>
      <c r="I10" s="87">
        <v>0.87549999999999994</v>
      </c>
      <c r="J10" s="88">
        <v>0.87549999999999994</v>
      </c>
      <c r="K10" s="199">
        <f t="shared" si="3"/>
        <v>2967.9449999999997</v>
      </c>
      <c r="L10" s="100">
        <f t="shared" si="4"/>
        <v>3390</v>
      </c>
      <c r="M10" s="199">
        <f t="shared" si="5"/>
        <v>2967.9449999999997</v>
      </c>
      <c r="N10" s="110">
        <v>0</v>
      </c>
      <c r="O10" s="110"/>
      <c r="P10" s="110"/>
      <c r="Q10" s="110"/>
      <c r="R10" s="110"/>
      <c r="S10" s="110"/>
      <c r="T10" s="110"/>
    </row>
    <row r="11" spans="1:21" s="77" customFormat="1" x14ac:dyDescent="0.3">
      <c r="A11" s="83" t="s">
        <v>0</v>
      </c>
      <c r="B11" s="83" t="s">
        <v>14</v>
      </c>
      <c r="C11" s="83" t="s">
        <v>135</v>
      </c>
      <c r="D11" s="83" t="s">
        <v>3</v>
      </c>
      <c r="E11" s="84">
        <v>45497</v>
      </c>
      <c r="F11" s="83">
        <v>18</v>
      </c>
      <c r="G11" s="113" t="s">
        <v>104</v>
      </c>
      <c r="H11" s="110">
        <v>3050</v>
      </c>
      <c r="I11" s="87">
        <v>0.98750000000000004</v>
      </c>
      <c r="J11" s="88">
        <v>0.97499999999999998</v>
      </c>
      <c r="K11" s="199">
        <f t="shared" si="3"/>
        <v>3011.875</v>
      </c>
      <c r="L11" s="100">
        <f t="shared" si="4"/>
        <v>1521.95</v>
      </c>
      <c r="M11" s="199">
        <f t="shared" si="5"/>
        <v>1483.9012499999999</v>
      </c>
      <c r="N11" s="110">
        <v>0.501</v>
      </c>
      <c r="O11" s="110"/>
      <c r="P11" s="110"/>
      <c r="Q11" s="110"/>
      <c r="R11" s="110"/>
      <c r="S11" s="110"/>
      <c r="T11" s="110"/>
    </row>
    <row r="12" spans="1:21" s="77" customFormat="1" x14ac:dyDescent="0.3">
      <c r="A12" s="83" t="s">
        <v>0</v>
      </c>
      <c r="B12" s="83" t="s">
        <v>14</v>
      </c>
      <c r="C12" s="83" t="s">
        <v>135</v>
      </c>
      <c r="D12" s="83" t="s">
        <v>3</v>
      </c>
      <c r="E12" s="84">
        <v>45497</v>
      </c>
      <c r="F12" s="83">
        <v>18</v>
      </c>
      <c r="G12" s="113" t="s">
        <v>104</v>
      </c>
      <c r="H12" s="110">
        <v>2898</v>
      </c>
      <c r="I12" s="87">
        <v>0.91300000000000003</v>
      </c>
      <c r="J12" s="88">
        <v>0.91300000000000003</v>
      </c>
      <c r="K12" s="199">
        <f t="shared" si="3"/>
        <v>2645.8740000000003</v>
      </c>
      <c r="L12" s="100">
        <f t="shared" si="4"/>
        <v>2898</v>
      </c>
      <c r="M12" s="199">
        <f t="shared" si="5"/>
        <v>2645.8740000000003</v>
      </c>
      <c r="N12" s="110">
        <v>0</v>
      </c>
      <c r="O12" s="110"/>
      <c r="P12" s="110"/>
      <c r="Q12" s="110"/>
      <c r="R12" s="110"/>
      <c r="S12" s="110"/>
      <c r="T12" s="110"/>
    </row>
    <row r="13" spans="1:21" s="77" customFormat="1" x14ac:dyDescent="0.3">
      <c r="A13" s="83" t="s">
        <v>0</v>
      </c>
      <c r="B13" s="83" t="s">
        <v>14</v>
      </c>
      <c r="C13" s="83" t="s">
        <v>15</v>
      </c>
      <c r="D13" s="83" t="s">
        <v>3</v>
      </c>
      <c r="E13" s="84">
        <v>45498</v>
      </c>
      <c r="F13" s="83">
        <v>18</v>
      </c>
      <c r="G13" s="113" t="s">
        <v>104</v>
      </c>
      <c r="H13" s="110">
        <v>2226</v>
      </c>
      <c r="I13" s="87">
        <v>0.99370000000000003</v>
      </c>
      <c r="J13" s="88">
        <v>0.98740000000000006</v>
      </c>
      <c r="K13" s="199">
        <f t="shared" si="3"/>
        <v>2211.9762000000001</v>
      </c>
      <c r="L13" s="100">
        <f t="shared" si="4"/>
        <v>1113</v>
      </c>
      <c r="M13" s="199">
        <f t="shared" si="5"/>
        <v>1098.9762000000001</v>
      </c>
      <c r="N13" s="110">
        <v>0.5</v>
      </c>
      <c r="O13" s="110"/>
      <c r="P13" s="110"/>
      <c r="Q13" s="110"/>
      <c r="R13" s="110"/>
      <c r="S13" s="110"/>
      <c r="T13" s="110"/>
    </row>
    <row r="14" spans="1:21" s="77" customFormat="1" x14ac:dyDescent="0.3">
      <c r="A14" s="83" t="s">
        <v>0</v>
      </c>
      <c r="B14" s="83" t="s">
        <v>14</v>
      </c>
      <c r="C14" s="83" t="s">
        <v>15</v>
      </c>
      <c r="D14" s="83" t="s">
        <v>3</v>
      </c>
      <c r="E14" s="84">
        <v>45498</v>
      </c>
      <c r="F14" s="83">
        <v>18</v>
      </c>
      <c r="G14" s="113" t="s">
        <v>104</v>
      </c>
      <c r="H14" s="110">
        <v>2154</v>
      </c>
      <c r="I14" s="87">
        <v>0.86629999999999996</v>
      </c>
      <c r="J14" s="88">
        <v>0.86629999999999996</v>
      </c>
      <c r="K14" s="199">
        <f t="shared" si="3"/>
        <v>1866.0101999999999</v>
      </c>
      <c r="L14" s="100">
        <f t="shared" si="4"/>
        <v>2154</v>
      </c>
      <c r="M14" s="199">
        <f t="shared" si="5"/>
        <v>1866.0101999999999</v>
      </c>
      <c r="N14" s="110">
        <v>0</v>
      </c>
      <c r="O14" s="110"/>
      <c r="P14" s="110"/>
      <c r="Q14" s="110"/>
      <c r="R14" s="110"/>
      <c r="S14" s="110"/>
      <c r="T14" s="110"/>
    </row>
    <row r="15" spans="1:21" s="77" customFormat="1" x14ac:dyDescent="0.3">
      <c r="A15" s="83" t="s">
        <v>0</v>
      </c>
      <c r="B15" s="83" t="s">
        <v>1</v>
      </c>
      <c r="C15" s="83" t="s">
        <v>15</v>
      </c>
      <c r="D15" s="83" t="s">
        <v>3</v>
      </c>
      <c r="E15" s="84">
        <v>45498</v>
      </c>
      <c r="F15" s="83">
        <v>18</v>
      </c>
      <c r="G15" s="113" t="s">
        <v>104</v>
      </c>
      <c r="H15" s="110">
        <v>2216</v>
      </c>
      <c r="I15" s="87">
        <v>0.90029999999999999</v>
      </c>
      <c r="J15" s="88">
        <v>0.90029999999999999</v>
      </c>
      <c r="K15" s="199">
        <f t="shared" si="3"/>
        <v>1995.0647999999999</v>
      </c>
      <c r="L15" s="100">
        <f t="shared" si="4"/>
        <v>2216</v>
      </c>
      <c r="M15" s="199">
        <f t="shared" si="5"/>
        <v>1995.0647999999999</v>
      </c>
      <c r="N15" s="110">
        <v>0</v>
      </c>
      <c r="O15" s="110"/>
      <c r="P15" s="110"/>
      <c r="Q15" s="110"/>
      <c r="R15" s="110"/>
      <c r="S15" s="110"/>
      <c r="T15" s="110"/>
    </row>
    <row r="16" spans="1:21" s="77" customFormat="1" x14ac:dyDescent="0.3">
      <c r="A16" s="83" t="s">
        <v>0</v>
      </c>
      <c r="B16" s="83" t="s">
        <v>14</v>
      </c>
      <c r="C16" s="83"/>
      <c r="D16" s="83" t="s">
        <v>3</v>
      </c>
      <c r="E16" s="84">
        <v>45504</v>
      </c>
      <c r="F16" s="83">
        <v>18</v>
      </c>
      <c r="G16" s="113" t="s">
        <v>104</v>
      </c>
      <c r="H16" s="110">
        <v>3858</v>
      </c>
      <c r="I16" s="87">
        <v>0.99790000000000001</v>
      </c>
      <c r="J16" s="88">
        <v>0.99529999999999996</v>
      </c>
      <c r="K16" s="199">
        <f t="shared" ref="K16:K21" si="6">H16*I16</f>
        <v>3849.8982000000001</v>
      </c>
      <c r="L16" s="100">
        <f t="shared" ref="L16:L21" si="7">H16*(1-N16)</f>
        <v>1709.0939999999998</v>
      </c>
      <c r="M16" s="199">
        <f t="shared" ref="M16:M21" si="8">J16*H16*(1-N16)</f>
        <v>1701.0612581999997</v>
      </c>
      <c r="N16" s="110">
        <v>0.55700000000000005</v>
      </c>
      <c r="O16" s="110"/>
      <c r="P16" s="110"/>
      <c r="Q16" s="110"/>
      <c r="R16" s="110"/>
      <c r="S16" s="110"/>
      <c r="T16" s="110"/>
      <c r="U16" s="110"/>
    </row>
    <row r="17" spans="1:21" s="77" customFormat="1" x14ac:dyDescent="0.3">
      <c r="A17" s="83" t="s">
        <v>0</v>
      </c>
      <c r="B17" s="83" t="s">
        <v>1</v>
      </c>
      <c r="C17" s="83" t="s">
        <v>135</v>
      </c>
      <c r="D17" s="83" t="s">
        <v>3</v>
      </c>
      <c r="E17" s="84">
        <v>45504</v>
      </c>
      <c r="F17" s="83">
        <v>18</v>
      </c>
      <c r="G17" s="113" t="s">
        <v>104</v>
      </c>
      <c r="H17" s="110">
        <v>3864</v>
      </c>
      <c r="I17" s="87">
        <v>0.89080000000000004</v>
      </c>
      <c r="J17" s="88">
        <v>0.89080000000000004</v>
      </c>
      <c r="K17" s="199">
        <f t="shared" si="6"/>
        <v>3442.0512000000003</v>
      </c>
      <c r="L17" s="100">
        <f t="shared" si="7"/>
        <v>3864</v>
      </c>
      <c r="M17" s="199">
        <f t="shared" si="8"/>
        <v>3442.0512000000003</v>
      </c>
      <c r="N17" s="110">
        <v>0</v>
      </c>
      <c r="O17" s="110"/>
      <c r="P17" s="110"/>
      <c r="Q17" s="110"/>
      <c r="R17" s="110"/>
      <c r="S17" s="110"/>
      <c r="T17" s="110"/>
      <c r="U17" s="110"/>
    </row>
    <row r="18" spans="1:21" s="77" customFormat="1" x14ac:dyDescent="0.3">
      <c r="A18" s="83" t="s">
        <v>0</v>
      </c>
      <c r="B18" s="83" t="s">
        <v>14</v>
      </c>
      <c r="C18" s="83"/>
      <c r="D18" s="83" t="s">
        <v>3</v>
      </c>
      <c r="E18" s="84">
        <v>45504</v>
      </c>
      <c r="F18" s="83">
        <v>18</v>
      </c>
      <c r="G18" s="113" t="s">
        <v>104</v>
      </c>
      <c r="H18" s="110">
        <v>3816</v>
      </c>
      <c r="I18" s="87">
        <v>0.90039999999999998</v>
      </c>
      <c r="J18" s="88">
        <v>0.90039999999999998</v>
      </c>
      <c r="K18" s="199">
        <f t="shared" si="6"/>
        <v>3435.9263999999998</v>
      </c>
      <c r="L18" s="100">
        <f t="shared" si="7"/>
        <v>3816</v>
      </c>
      <c r="M18" s="199">
        <f t="shared" si="8"/>
        <v>3435.9263999999998</v>
      </c>
      <c r="N18" s="110">
        <v>0</v>
      </c>
      <c r="O18" s="110"/>
      <c r="P18" s="110"/>
      <c r="Q18" s="110"/>
      <c r="R18" s="110"/>
      <c r="S18" s="110"/>
      <c r="T18" s="110"/>
      <c r="U18" s="110"/>
    </row>
    <row r="19" spans="1:21" s="66" customFormat="1" x14ac:dyDescent="0.3">
      <c r="A19" s="83" t="s">
        <v>0</v>
      </c>
      <c r="B19" s="83" t="s">
        <v>1</v>
      </c>
      <c r="C19" s="83" t="s">
        <v>122</v>
      </c>
      <c r="D19" s="83" t="s">
        <v>3</v>
      </c>
      <c r="E19" s="84">
        <v>45521</v>
      </c>
      <c r="F19" s="83">
        <v>18</v>
      </c>
      <c r="G19" s="113" t="s">
        <v>104</v>
      </c>
      <c r="H19" s="110">
        <v>3084</v>
      </c>
      <c r="I19" s="190">
        <v>0.89980000000000004</v>
      </c>
      <c r="J19" s="88">
        <v>0.89980000000000004</v>
      </c>
      <c r="K19" s="199">
        <f t="shared" si="6"/>
        <v>2774.9832000000001</v>
      </c>
      <c r="L19" s="100">
        <f t="shared" si="7"/>
        <v>3084</v>
      </c>
      <c r="M19" s="199">
        <f t="shared" si="8"/>
        <v>2774.9832000000001</v>
      </c>
      <c r="N19" s="110">
        <v>0</v>
      </c>
      <c r="O19" s="85"/>
      <c r="P19" s="85"/>
      <c r="Q19" s="85"/>
      <c r="R19" s="85"/>
      <c r="S19" s="85"/>
      <c r="T19" s="85"/>
      <c r="U19" s="85"/>
    </row>
    <row r="20" spans="1:21" s="66" customFormat="1" x14ac:dyDescent="0.3">
      <c r="A20" s="83" t="s">
        <v>0</v>
      </c>
      <c r="B20" s="83" t="s">
        <v>14</v>
      </c>
      <c r="C20" s="83" t="s">
        <v>122</v>
      </c>
      <c r="D20" s="83" t="s">
        <v>3</v>
      </c>
      <c r="E20" s="84">
        <v>45521</v>
      </c>
      <c r="F20" s="83">
        <v>18</v>
      </c>
      <c r="G20" s="113" t="s">
        <v>104</v>
      </c>
      <c r="H20" s="110">
        <v>3084</v>
      </c>
      <c r="I20" s="190">
        <v>0.98770000000000002</v>
      </c>
      <c r="J20" s="88">
        <v>0.97540000000000004</v>
      </c>
      <c r="K20" s="199">
        <f t="shared" si="6"/>
        <v>3046.0668000000001</v>
      </c>
      <c r="L20" s="100">
        <f t="shared" si="7"/>
        <v>1542</v>
      </c>
      <c r="M20" s="199">
        <f t="shared" si="8"/>
        <v>1504.0668000000001</v>
      </c>
      <c r="N20" s="110">
        <v>0.5</v>
      </c>
      <c r="O20" s="85"/>
      <c r="P20" s="85"/>
      <c r="Q20" s="85"/>
      <c r="R20" s="85"/>
      <c r="S20" s="85"/>
      <c r="T20" s="85"/>
      <c r="U20" s="85"/>
    </row>
    <row r="21" spans="1:21" s="66" customFormat="1" x14ac:dyDescent="0.3">
      <c r="A21" s="83" t="s">
        <v>0</v>
      </c>
      <c r="B21" s="83" t="s">
        <v>14</v>
      </c>
      <c r="C21" s="83" t="s">
        <v>122</v>
      </c>
      <c r="D21" s="83" t="s">
        <v>3</v>
      </c>
      <c r="E21" s="84">
        <v>45521</v>
      </c>
      <c r="F21" s="83">
        <v>18</v>
      </c>
      <c r="G21" s="113" t="s">
        <v>104</v>
      </c>
      <c r="H21" s="110">
        <v>3000</v>
      </c>
      <c r="I21" s="190">
        <v>0.92300000000000004</v>
      </c>
      <c r="J21" s="88">
        <v>0.91920000000000002</v>
      </c>
      <c r="K21" s="199">
        <f t="shared" si="6"/>
        <v>2769</v>
      </c>
      <c r="L21" s="100">
        <f t="shared" si="7"/>
        <v>2823</v>
      </c>
      <c r="M21" s="199">
        <f t="shared" si="8"/>
        <v>2594.9016000000001</v>
      </c>
      <c r="N21" s="110">
        <v>5.8999999999999997E-2</v>
      </c>
      <c r="O21" s="85"/>
      <c r="P21" s="85"/>
      <c r="Q21" s="85"/>
      <c r="R21" s="85"/>
      <c r="S21" s="85"/>
      <c r="T21" s="85"/>
      <c r="U21" s="85"/>
    </row>
    <row r="22" spans="1:21" s="77" customFormat="1" x14ac:dyDescent="0.3">
      <c r="A22" s="83"/>
      <c r="B22" s="83"/>
      <c r="C22" s="83"/>
      <c r="D22" s="83"/>
      <c r="E22" s="84"/>
      <c r="F22" s="83"/>
      <c r="G22" s="113"/>
      <c r="H22" s="110"/>
      <c r="I22" s="87"/>
      <c r="J22" s="88"/>
      <c r="K22" s="199"/>
      <c r="L22" s="100"/>
      <c r="M22" s="199"/>
      <c r="N22" s="97"/>
      <c r="O22" s="110"/>
      <c r="P22" s="110"/>
      <c r="Q22" s="110"/>
      <c r="R22" s="110"/>
      <c r="S22" s="110"/>
      <c r="T22" s="110"/>
    </row>
    <row r="24" spans="1:21" x14ac:dyDescent="0.3">
      <c r="E24" s="55" t="s">
        <v>39</v>
      </c>
      <c r="F24" s="102"/>
      <c r="G24" s="191"/>
      <c r="H24" s="98">
        <f>SUM(H$2:H$23)</f>
        <v>59020</v>
      </c>
      <c r="I24" s="99">
        <f>K24/H24</f>
        <v>0.92849685530328718</v>
      </c>
      <c r="J24" s="117">
        <f>M24/L24</f>
        <v>0.91241293948975033</v>
      </c>
      <c r="K24" s="200">
        <f>SUM(K$2:K$23)</f>
        <v>54799.88440000001</v>
      </c>
      <c r="L24" s="98">
        <f>SUM(L$2:L$23)</f>
        <v>48114.262000000002</v>
      </c>
      <c r="M24" s="206">
        <f>SUM(M$2:M$23)</f>
        <v>43900.075222799998</v>
      </c>
      <c r="N24" s="7"/>
      <c r="O24" s="101"/>
      <c r="P24" s="70"/>
      <c r="Q24" s="101"/>
    </row>
    <row r="25" spans="1:21" x14ac:dyDescent="0.3">
      <c r="E25" s="193" t="s">
        <v>43</v>
      </c>
      <c r="F25" s="194"/>
      <c r="G25" s="195"/>
      <c r="H25" s="192">
        <f>SUMIF(B$2:B$23,"CLUSTER",H$2:H$23)</f>
        <v>17834</v>
      </c>
      <c r="I25" s="196">
        <f>K25/H25</f>
        <v>0.88387458786587414</v>
      </c>
      <c r="J25" s="197">
        <f>M25/L25</f>
        <v>0.88387458786587414</v>
      </c>
      <c r="K25" s="201">
        <f>SUMIF(B$2:B$23,"CLUSTER",K$2:K$23)</f>
        <v>15763.019399999999</v>
      </c>
      <c r="L25" s="192">
        <f>SUMIF(B$2:B$23,"CLUSTER",$L2:L$23)</f>
        <v>17834</v>
      </c>
      <c r="M25" s="207">
        <f>SUMIF(B$2:B$23,"CLUSTER",M$2:M$23)</f>
        <v>15763.019399999999</v>
      </c>
    </row>
    <row r="26" spans="1:21" x14ac:dyDescent="0.3">
      <c r="E26" s="104" t="s">
        <v>41</v>
      </c>
      <c r="F26" s="105"/>
      <c r="G26" s="168"/>
      <c r="H26" s="106">
        <f>SUMIFS(H$2:H$23,B$2:B$23,"CLUSTER",C$2:C$23,IF(G26="", "", G26))</f>
        <v>6474</v>
      </c>
      <c r="I26" s="107">
        <f t="shared" ref="I26:I27" si="9">K26/H26</f>
        <v>0.8643530120481927</v>
      </c>
      <c r="J26" s="118">
        <f t="shared" ref="J26:J28" si="10">M26/L26</f>
        <v>0.8643530120481927</v>
      </c>
      <c r="K26" s="202">
        <f>SUMIFS(K$2:K$23,B$2:B$23,"CLUSTER",C$2:C$23,IF(G26="", "", G26))</f>
        <v>5595.8213999999998</v>
      </c>
      <c r="L26" s="106">
        <f>SUMIFS(L$2:L$23,B$2:B$23,"CLUSTER",C$2:C$23,IF(G26="", "", G26))</f>
        <v>6474</v>
      </c>
      <c r="M26" s="208">
        <f>SUMIFS(M$2:M$23,B$2:B$23,"CLUSTER",C$2:C$23,IF(G26="", "", G26))</f>
        <v>5595.8213999999998</v>
      </c>
      <c r="O26" t="str">
        <f>IF(G26="", "", G26)</f>
        <v/>
      </c>
    </row>
    <row r="27" spans="1:21" x14ac:dyDescent="0.3">
      <c r="E27" s="43" t="s">
        <v>40</v>
      </c>
      <c r="G27" s="14" t="s">
        <v>2</v>
      </c>
      <c r="H27" s="90">
        <f>SUMIFS(H$2:H$23,B$2:B$23,"CLUSTER",C$2:C$23,IF(G27="", "", G27))</f>
        <v>2196</v>
      </c>
      <c r="I27" s="161">
        <f t="shared" si="9"/>
        <v>0.89029999999999998</v>
      </c>
      <c r="J27" s="162">
        <f t="shared" si="10"/>
        <v>0.89029999999999998</v>
      </c>
      <c r="K27" s="203">
        <f>SUMIFS(K$2:K$23,B$2:B$23,"CLUSTER",C$2:C$23,IF(G27="", "", G27))</f>
        <v>1955.0988</v>
      </c>
      <c r="L27" s="90">
        <f>SUMIFS(L$2:L$23,B$2:B$23,"CLUSTER",C$2:C$23,IF(G27="", "", G27))</f>
        <v>2196</v>
      </c>
      <c r="M27" s="209">
        <f>SUMIFS(M$2:M$23,B$2:B$23,"CLUSTER",C$2:C$23,IF(G27="", "", G27))</f>
        <v>1955.0988</v>
      </c>
    </row>
    <row r="28" spans="1:21" x14ac:dyDescent="0.3">
      <c r="E28" s="43" t="s">
        <v>42</v>
      </c>
      <c r="G28" s="14" t="s">
        <v>15</v>
      </c>
      <c r="H28" s="90">
        <f>SUMIFS(H$2:H$23,B$2:B$23,"CLUSTER",C$2:C$23,IF(G28="", "", G28))</f>
        <v>2216</v>
      </c>
      <c r="I28" s="161">
        <f t="shared" ref="I28:I36" si="11">K28/H28</f>
        <v>0.90029999999999999</v>
      </c>
      <c r="J28" s="162">
        <f t="shared" si="10"/>
        <v>0.90029999999999999</v>
      </c>
      <c r="K28" s="203">
        <f>SUMIFS(K$2:K$23,B$2:B$23,"CLUSTER",C$2:C$23,G28)</f>
        <v>1995.0647999999999</v>
      </c>
      <c r="L28" s="90">
        <f>SUMIFS(L$2:L$23,B$2:B$23,"CLUSTER",C$2:C$23,IF(G28="", "", G28))</f>
        <v>2216</v>
      </c>
      <c r="M28" s="209">
        <f>SUMIFS(M$2:M$23,B$2:B$23,"CLUSTER",C$2:C$23,IF(G28="", "", G28))</f>
        <v>1995.0647999999999</v>
      </c>
    </row>
    <row r="29" spans="1:21" x14ac:dyDescent="0.3">
      <c r="E29" s="43" t="s">
        <v>134</v>
      </c>
      <c r="G29" s="14" t="s">
        <v>135</v>
      </c>
      <c r="H29" s="90">
        <f>SUMIFS(H$2:H$23,B$2:B$23,"CLUSTER",C$2:C$23,IF(G29="", "", G29))</f>
        <v>3864</v>
      </c>
      <c r="I29" s="161">
        <f t="shared" si="11"/>
        <v>0.89080000000000004</v>
      </c>
      <c r="J29" s="162">
        <f t="shared" ref="J29:J36" si="12">M29/L29</f>
        <v>0.89080000000000004</v>
      </c>
      <c r="K29" s="203">
        <f>SUMIFS(K$2:K$23,B$2:B$23,"CLUSTER",C$2:C$23,G29)</f>
        <v>3442.0512000000003</v>
      </c>
      <c r="L29" s="90">
        <f>SUMIFS(L$2:L$23,B$2:B$23,"CLUSTER",C$2:C$23,IF(G29="", "", G29))</f>
        <v>3864</v>
      </c>
      <c r="M29" s="209">
        <f>SUMIFS(M$2:M$23,B$2:B$23,"CLUSTER",C$2:C$23,IF(G29="", "", G29))</f>
        <v>3442.0512000000003</v>
      </c>
    </row>
    <row r="30" spans="1:21" x14ac:dyDescent="0.3">
      <c r="E30" s="48" t="s">
        <v>123</v>
      </c>
      <c r="F30" s="49"/>
      <c r="G30" s="50" t="s">
        <v>122</v>
      </c>
      <c r="H30" s="108">
        <f>SUMIFS(H$2:H$23,B$2:B$23,"CLUSTER",C$2:C$23,IF(G30="", "", G30))</f>
        <v>3084</v>
      </c>
      <c r="I30" s="109">
        <f t="shared" si="11"/>
        <v>0.89980000000000004</v>
      </c>
      <c r="J30" s="119">
        <f t="shared" si="12"/>
        <v>0.89980000000000004</v>
      </c>
      <c r="K30" s="204">
        <f>SUMIFS(K$2:K$23,B$2:B$23,"CLUSTER",C$2:C$23,G30)</f>
        <v>2774.9832000000001</v>
      </c>
      <c r="L30" s="108">
        <f>SUMIFS(L$2:L$23,B$2:B$23,"CLUSTER",C$2:C$23,IF(G30="", "", G30))</f>
        <v>3084</v>
      </c>
      <c r="M30" s="210">
        <f>SUMIFS(M$2:M$23,B$2:B$23,"CLUSTER",C$2:C$23,IF(G30="", "", G30))</f>
        <v>2774.9832000000001</v>
      </c>
    </row>
    <row r="31" spans="1:21" x14ac:dyDescent="0.3">
      <c r="E31" s="55" t="s">
        <v>44</v>
      </c>
      <c r="F31" s="56"/>
      <c r="G31" s="57"/>
      <c r="H31" s="103">
        <f>SUMIF(B$2:B$23,"NODE",H$2:H$23)</f>
        <v>41186</v>
      </c>
      <c r="I31" s="99">
        <f t="shared" si="11"/>
        <v>0.94781879764968668</v>
      </c>
      <c r="J31" s="117">
        <f t="shared" si="12"/>
        <v>0.92922101607971552</v>
      </c>
      <c r="K31" s="205">
        <f>SUMIF(B$2:B$23,"NODE",K$2:K$23)</f>
        <v>39036.864999999998</v>
      </c>
      <c r="L31" s="103">
        <f>SUMIF(B$2:B$23,"NODE",L$2:L$23)</f>
        <v>30280.262000000002</v>
      </c>
      <c r="M31" s="211">
        <f>SUMIF(B$2:B$23,"NODE",M$2:M$23)</f>
        <v>28137.055822800001</v>
      </c>
    </row>
    <row r="32" spans="1:21" x14ac:dyDescent="0.3">
      <c r="E32" s="43" t="s">
        <v>45</v>
      </c>
      <c r="G32" s="14"/>
      <c r="H32" s="90">
        <f>SUMIFS(H$2:H$23,B$2:B$23,"NODE",C$2:C$23,IF(G32="", "", G32))</f>
        <v>14322</v>
      </c>
      <c r="I32" s="161">
        <f t="shared" si="11"/>
        <v>0.95482496857980736</v>
      </c>
      <c r="J32" s="162">
        <f t="shared" si="12"/>
        <v>0.9381546916797423</v>
      </c>
      <c r="K32" s="203">
        <f>SUMIFS(K$2:K$23,B$2:B$23,"NODE",C$2:C$23,IF(G32="", "", G32))</f>
        <v>13675.003200000001</v>
      </c>
      <c r="L32" s="90">
        <f>SUMIFS(L$2:L$23,B$2:B$23,"NODE",C$2:C$23,IF(G32="", "", G32))</f>
        <v>10416.312</v>
      </c>
      <c r="M32" s="209">
        <f>SUMIFS(M$2:M$23,B$2:B$23,"NODE",C$2:C$23,IF(G32="", "", G32))</f>
        <v>9772.1119727999994</v>
      </c>
    </row>
    <row r="33" spans="5:13" x14ac:dyDescent="0.3">
      <c r="E33" s="43" t="s">
        <v>101</v>
      </c>
      <c r="G33" s="14" t="s">
        <v>2</v>
      </c>
      <c r="H33" s="90">
        <f>SUMIFS(H$2:H$23,B$2:B$23,"NODE",C$2:C$23,IF(G33="", "", G33))</f>
        <v>4362</v>
      </c>
      <c r="I33" s="161">
        <f t="shared" si="11"/>
        <v>0.94248528198074266</v>
      </c>
      <c r="J33" s="162">
        <f t="shared" si="12"/>
        <v>0.92313749999999994</v>
      </c>
      <c r="K33" s="203">
        <f>SUMIFS(K2:K23,B2:B23,"NODE",C2:C23,IF(G33="", "", G33))</f>
        <v>4111.1207999999997</v>
      </c>
      <c r="L33" s="90">
        <f>SUMIFS(L$2:L$23,B$2:B$23,"NODE",C$2:C$23,IF(G33="", "", G33))</f>
        <v>3264</v>
      </c>
      <c r="M33" s="209">
        <f>SUMIFS(M$2:M$23,B$2:B$23,"NODE",C$2:C$23,IF(G33="", "", G33))</f>
        <v>3013.1207999999997</v>
      </c>
    </row>
    <row r="34" spans="5:13" x14ac:dyDescent="0.3">
      <c r="E34" s="43" t="s">
        <v>47</v>
      </c>
      <c r="G34" s="14" t="s">
        <v>15</v>
      </c>
      <c r="H34" s="90">
        <f>SUMIFS(H$2:H$23,B$2:B$23,"NODE",C$2:C$23,IF(G34="", "", G34))</f>
        <v>4380</v>
      </c>
      <c r="I34" s="161">
        <f t="shared" si="11"/>
        <v>0.93104712328767114</v>
      </c>
      <c r="J34" s="162">
        <f t="shared" si="12"/>
        <v>0.90755629017447192</v>
      </c>
      <c r="K34" s="203">
        <f>SUMIFS(K2:K23,B2:B23,"NODE",C2:C23,IF(G34="", "", G34))</f>
        <v>4077.9863999999998</v>
      </c>
      <c r="L34" s="90">
        <f>SUMIFS(L$2:L$23,B$2:B$23,"NODE",C$2:C$23,IF(G34="", "", G34))</f>
        <v>3267</v>
      </c>
      <c r="M34" s="209">
        <f>SUMIFS(M$2:M$23,B$2:B$23,"NODE",C$2:C$23,IF(G34="", "", G34))</f>
        <v>2964.9863999999998</v>
      </c>
    </row>
    <row r="35" spans="5:13" x14ac:dyDescent="0.3">
      <c r="E35" s="43" t="s">
        <v>133</v>
      </c>
      <c r="G35" s="14" t="s">
        <v>135</v>
      </c>
      <c r="H35" s="90">
        <f>SUMIFS(H$2:H$23,B$2:B$23,"NODE",C$2:C$23,IF(G35="", "", G35))</f>
        <v>12038</v>
      </c>
      <c r="I35" s="161">
        <f t="shared" si="11"/>
        <v>0.9434862767901645</v>
      </c>
      <c r="J35" s="162">
        <f t="shared" si="12"/>
        <v>0.92416530533734009</v>
      </c>
      <c r="K35" s="203">
        <f>SUMIFS(K2:K23,B2:B23,"NODE",C2:C23,IF(G35="", "", G35))</f>
        <v>11357.6878</v>
      </c>
      <c r="L35" s="90">
        <f>SUMIFS(L$2:L$23,B$2:B$23,"NODE",C$2:C$23,IF(G35="", "", G35))</f>
        <v>8967.9500000000007</v>
      </c>
      <c r="M35" s="209">
        <f>SUMIFS(M$2:M$23,B$2:B$23,"NODE",C$2:C$23,IF(G35="", "", G35))</f>
        <v>8287.8682499999995</v>
      </c>
    </row>
    <row r="36" spans="5:13" x14ac:dyDescent="0.3">
      <c r="E36" s="48" t="s">
        <v>124</v>
      </c>
      <c r="F36" s="49"/>
      <c r="G36" s="50" t="s">
        <v>122</v>
      </c>
      <c r="H36" s="108">
        <f>SUMIFS(H$2:H$23,B$2:B$23,"NODE",C$2:C$23,IF(G36="", "", G36))</f>
        <v>6084</v>
      </c>
      <c r="I36" s="109">
        <f t="shared" si="11"/>
        <v>0.95579664694280086</v>
      </c>
      <c r="J36" s="119">
        <f t="shared" si="12"/>
        <v>0.93905347079037793</v>
      </c>
      <c r="K36" s="204">
        <f>SUMIFS(K3:K24,B3:B24,"NODE",C3:C24,IF(G36="", "", G36))</f>
        <v>5815.0668000000005</v>
      </c>
      <c r="L36" s="108">
        <f>SUMIFS(L$2:L$23,B$2:B$23,"NODE",C$2:C$23,IF(G36="", "", G36))</f>
        <v>4365</v>
      </c>
      <c r="M36" s="210">
        <f>SUMIFS(M$2:M$23,B$2:B$23,"NODE",C$2:C$23,IF(G36="", "", G36))</f>
        <v>4098.9683999999997</v>
      </c>
    </row>
  </sheetData>
  <phoneticPr fontId="13" type="noConversion"/>
  <conditionalFormatting sqref="I26:I30">
    <cfRule type="colorScale" priority="4">
      <colorScale>
        <cfvo type="min"/>
        <cfvo type="max"/>
        <color rgb="FFFF7128"/>
        <color rgb="FF92D050"/>
      </colorScale>
    </cfRule>
  </conditionalFormatting>
  <conditionalFormatting sqref="I32:I36">
    <cfRule type="colorScale" priority="3">
      <colorScale>
        <cfvo type="min"/>
        <cfvo type="max"/>
        <color rgb="FFFF7128"/>
        <color rgb="FF92D050"/>
      </colorScale>
    </cfRule>
  </conditionalFormatting>
  <conditionalFormatting sqref="J26:J30">
    <cfRule type="colorScale" priority="2">
      <colorScale>
        <cfvo type="min"/>
        <cfvo type="max"/>
        <color rgb="FFFF7128"/>
        <color rgb="FF92D050"/>
      </colorScale>
    </cfRule>
  </conditionalFormatting>
  <conditionalFormatting sqref="J32:J36">
    <cfRule type="colorScale" priority="1">
      <colorScale>
        <cfvo type="min"/>
        <cfvo type="max"/>
        <color rgb="FFFF7128"/>
        <color rgb="FF92D050"/>
      </colorScale>
    </cfRule>
  </conditionalFormatting>
  <conditionalFormatting sqref="N24">
    <cfRule type="cellIs" dxfId="1" priority="5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9CA2-C89F-4B6A-A33A-4B176660B789}">
  <dimension ref="A1:Y53"/>
  <sheetViews>
    <sheetView zoomScale="115" zoomScaleNormal="115" workbookViewId="0">
      <selection activeCell="E43" sqref="E43:J53"/>
    </sheetView>
  </sheetViews>
  <sheetFormatPr defaultRowHeight="14.4" x14ac:dyDescent="0.3"/>
  <cols>
    <col min="3" max="3" width="14.6640625" bestFit="1" customWidth="1"/>
    <col min="5" max="5" width="20.109375" customWidth="1"/>
    <col min="6" max="6" width="9.33203125" customWidth="1"/>
    <col min="7" max="7" width="15" style="114" customWidth="1"/>
    <col min="8" max="8" width="10.33203125" style="126" bestFit="1" customWidth="1"/>
    <col min="9" max="9" width="8.88671875" style="111"/>
    <col min="10" max="10" width="8.88671875" style="94"/>
    <col min="11" max="11" width="14.88671875" style="203" customWidth="1"/>
    <col min="12" max="12" width="11.33203125" style="90" customWidth="1"/>
    <col min="13" max="13" width="14.21875" style="203" customWidth="1"/>
    <col min="14" max="14" width="8.88671875" style="96"/>
  </cols>
  <sheetData>
    <row r="1" spans="1:25" s="86" customFormat="1" ht="28.8" x14ac:dyDescent="0.3">
      <c r="A1" s="85" t="s">
        <v>4</v>
      </c>
      <c r="B1" s="85" t="s">
        <v>5</v>
      </c>
      <c r="C1" s="85" t="s">
        <v>93</v>
      </c>
      <c r="D1" s="85" t="s">
        <v>6</v>
      </c>
      <c r="E1" s="85" t="s">
        <v>94</v>
      </c>
      <c r="F1" s="19" t="s">
        <v>48</v>
      </c>
      <c r="G1" s="19"/>
      <c r="H1" s="218" t="s">
        <v>102</v>
      </c>
      <c r="I1" s="91" t="s">
        <v>95</v>
      </c>
      <c r="J1" s="92" t="s">
        <v>103</v>
      </c>
      <c r="K1" s="198" t="s">
        <v>98</v>
      </c>
      <c r="L1" s="89" t="s">
        <v>99</v>
      </c>
      <c r="M1" s="198" t="s">
        <v>97</v>
      </c>
      <c r="N1" s="95" t="s">
        <v>100</v>
      </c>
    </row>
    <row r="2" spans="1:25" s="77" customFormat="1" x14ac:dyDescent="0.3">
      <c r="A2" s="83" t="s">
        <v>0</v>
      </c>
      <c r="B2" s="83" t="s">
        <v>14</v>
      </c>
      <c r="C2" s="83" t="s">
        <v>122</v>
      </c>
      <c r="D2" s="83" t="s">
        <v>3</v>
      </c>
      <c r="E2" s="84">
        <v>45520</v>
      </c>
      <c r="F2" s="83">
        <v>18</v>
      </c>
      <c r="G2" s="83" t="s">
        <v>104</v>
      </c>
      <c r="H2" s="219">
        <v>7722</v>
      </c>
      <c r="I2" s="87">
        <v>0.97270000000000001</v>
      </c>
      <c r="J2" s="88">
        <v>0.94950000000000001</v>
      </c>
      <c r="K2" s="199">
        <f t="shared" ref="K2:K3" si="0">H2*I2</f>
        <v>7511.1894000000002</v>
      </c>
      <c r="L2" s="100">
        <f t="shared" ref="L2:L3" si="1">H2*(1-N2)</f>
        <v>3922.7759999999998</v>
      </c>
      <c r="M2" s="199">
        <f t="shared" ref="M2:M3" si="2">J2*H2*(1-N2)</f>
        <v>3724.675812</v>
      </c>
      <c r="N2" s="212">
        <v>0.49199999999999999</v>
      </c>
      <c r="P2" s="110">
        <v>2.1000000000000001E-2</v>
      </c>
      <c r="Q2" s="110"/>
      <c r="S2" s="110"/>
      <c r="T2" s="110"/>
      <c r="U2" s="110"/>
      <c r="V2" s="110"/>
      <c r="W2" s="112">
        <v>0.84760000000000002</v>
      </c>
      <c r="X2" s="112">
        <v>0.77595000000000003</v>
      </c>
      <c r="Y2" s="110"/>
    </row>
    <row r="3" spans="1:25" s="66" customFormat="1" x14ac:dyDescent="0.3">
      <c r="A3" s="158" t="s">
        <v>0</v>
      </c>
      <c r="B3" s="229" t="s">
        <v>1</v>
      </c>
      <c r="C3" s="229" t="s">
        <v>122</v>
      </c>
      <c r="D3" s="158" t="s">
        <v>3</v>
      </c>
      <c r="E3" s="159">
        <v>45647</v>
      </c>
      <c r="F3" s="158">
        <v>18</v>
      </c>
      <c r="G3" s="158" t="s">
        <v>104</v>
      </c>
      <c r="H3" s="85">
        <v>7926</v>
      </c>
      <c r="I3" s="228">
        <v>0.86739999999999995</v>
      </c>
      <c r="J3" s="92">
        <v>0.86739999999999995</v>
      </c>
      <c r="K3" s="199">
        <f t="shared" si="0"/>
        <v>6875.0123999999996</v>
      </c>
      <c r="L3" s="100">
        <f t="shared" si="1"/>
        <v>7926</v>
      </c>
      <c r="M3" s="199">
        <f t="shared" si="2"/>
        <v>6875.0123999999996</v>
      </c>
      <c r="N3" s="212">
        <v>0</v>
      </c>
      <c r="O3" s="85"/>
      <c r="P3" s="85"/>
      <c r="Q3" s="85"/>
      <c r="R3" s="85"/>
      <c r="S3" s="85"/>
      <c r="T3" s="85"/>
      <c r="U3" s="85"/>
      <c r="V3" s="85"/>
      <c r="W3" s="160">
        <v>0.75102000000000002</v>
      </c>
      <c r="X3" s="160">
        <v>0.75102000000000002</v>
      </c>
      <c r="Y3" s="85"/>
    </row>
    <row r="4" spans="1:25" s="77" customFormat="1" x14ac:dyDescent="0.3">
      <c r="A4" s="83" t="s">
        <v>0</v>
      </c>
      <c r="B4" s="83" t="s">
        <v>14</v>
      </c>
      <c r="C4" s="83" t="s">
        <v>122</v>
      </c>
      <c r="D4" s="83" t="s">
        <v>3</v>
      </c>
      <c r="E4" s="84">
        <v>45520</v>
      </c>
      <c r="F4" s="83">
        <v>18</v>
      </c>
      <c r="G4" s="83" t="s">
        <v>104</v>
      </c>
      <c r="H4" s="219">
        <v>7554</v>
      </c>
      <c r="I4" s="87">
        <v>0.84460000000000002</v>
      </c>
      <c r="J4" s="88">
        <v>0.82589999999999997</v>
      </c>
      <c r="K4" s="199">
        <f t="shared" ref="K4" si="3">H4*I4</f>
        <v>6380.1084000000001</v>
      </c>
      <c r="L4" s="100">
        <f t="shared" ref="L4" si="4">H4*(1-N4)</f>
        <v>6677.7359999999999</v>
      </c>
      <c r="M4" s="199">
        <f t="shared" ref="M4" si="5">J4*H4*(1-N4)</f>
        <v>5515.1421623999995</v>
      </c>
      <c r="N4" s="212">
        <v>0.11600000000000001</v>
      </c>
      <c r="P4" s="110">
        <v>0.23899999999999999</v>
      </c>
      <c r="Q4" s="110"/>
      <c r="S4" s="110"/>
      <c r="T4" s="110"/>
      <c r="U4" s="110"/>
      <c r="V4" s="110"/>
      <c r="W4" s="112">
        <v>0.79630999999999996</v>
      </c>
      <c r="X4" s="112">
        <v>0.79471000000000003</v>
      </c>
      <c r="Y4" s="110"/>
    </row>
    <row r="5" spans="1:25" s="77" customFormat="1" x14ac:dyDescent="0.3">
      <c r="A5" s="83" t="s">
        <v>0</v>
      </c>
      <c r="B5" s="83" t="s">
        <v>14</v>
      </c>
      <c r="C5" s="83"/>
      <c r="D5" s="83" t="s">
        <v>3</v>
      </c>
      <c r="E5" s="84">
        <v>45522</v>
      </c>
      <c r="F5" s="83">
        <v>18</v>
      </c>
      <c r="G5" s="83" t="s">
        <v>104</v>
      </c>
      <c r="H5" s="219">
        <v>3954</v>
      </c>
      <c r="I5" s="87">
        <v>0.9476</v>
      </c>
      <c r="J5" s="88">
        <v>0.92720000000000002</v>
      </c>
      <c r="K5" s="199">
        <f t="shared" ref="K5:K8" si="6">H5*I5</f>
        <v>3746.8103999999998</v>
      </c>
      <c r="L5" s="100">
        <f t="shared" ref="L5:L8" si="7">H5*(1-N5)</f>
        <v>1316.6819999999998</v>
      </c>
      <c r="M5" s="199">
        <f t="shared" ref="M5:M8" si="8">J5*H5*(1-N5)</f>
        <v>1220.8275503999998</v>
      </c>
      <c r="N5" s="212">
        <v>0.66700000000000004</v>
      </c>
      <c r="O5" s="110"/>
      <c r="Q5" s="110"/>
      <c r="R5" s="112">
        <v>0.85419</v>
      </c>
      <c r="S5" s="112">
        <v>0.71059000000000005</v>
      </c>
      <c r="T5" s="110"/>
      <c r="U5" s="110"/>
      <c r="V5" s="110"/>
      <c r="W5" s="110"/>
    </row>
    <row r="6" spans="1:25" s="77" customFormat="1" x14ac:dyDescent="0.3">
      <c r="A6" s="83" t="s">
        <v>0</v>
      </c>
      <c r="B6" s="83" t="s">
        <v>14</v>
      </c>
      <c r="C6" s="83"/>
      <c r="D6" s="83" t="s">
        <v>3</v>
      </c>
      <c r="E6" s="84">
        <v>45522</v>
      </c>
      <c r="F6" s="83">
        <v>18</v>
      </c>
      <c r="G6" s="83" t="s">
        <v>104</v>
      </c>
      <c r="H6" s="219">
        <v>3768</v>
      </c>
      <c r="I6" s="87">
        <v>0.91749999999999998</v>
      </c>
      <c r="J6" s="88">
        <v>0.91749999999999998</v>
      </c>
      <c r="K6" s="199">
        <f t="shared" si="6"/>
        <v>3457.14</v>
      </c>
      <c r="L6" s="100">
        <f t="shared" si="7"/>
        <v>3768</v>
      </c>
      <c r="M6" s="199">
        <f t="shared" si="8"/>
        <v>3457.14</v>
      </c>
      <c r="N6" s="212">
        <v>0</v>
      </c>
      <c r="O6" s="110"/>
      <c r="Q6" s="110"/>
      <c r="R6" s="112">
        <v>0.91054999999999997</v>
      </c>
      <c r="S6" s="112">
        <v>0.91054999999999997</v>
      </c>
      <c r="T6" s="110"/>
      <c r="U6" s="110"/>
      <c r="V6" s="110"/>
      <c r="W6" s="110"/>
    </row>
    <row r="7" spans="1:25" s="77" customFormat="1" x14ac:dyDescent="0.3">
      <c r="A7" s="83" t="s">
        <v>0</v>
      </c>
      <c r="B7" s="83" t="s">
        <v>1</v>
      </c>
      <c r="C7" s="83"/>
      <c r="D7" s="83" t="s">
        <v>3</v>
      </c>
      <c r="E7" s="84">
        <v>45522</v>
      </c>
      <c r="F7" s="83">
        <v>18</v>
      </c>
      <c r="G7" s="83" t="s">
        <v>104</v>
      </c>
      <c r="H7" s="219">
        <v>3948</v>
      </c>
      <c r="I7" s="87">
        <v>0.74539999999999995</v>
      </c>
      <c r="J7" s="88">
        <v>0.73170000000000002</v>
      </c>
      <c r="K7" s="199">
        <f t="shared" si="6"/>
        <v>2942.8391999999999</v>
      </c>
      <c r="L7" s="100">
        <f t="shared" si="7"/>
        <v>3746.652</v>
      </c>
      <c r="M7" s="199">
        <f t="shared" si="8"/>
        <v>2741.4252683999998</v>
      </c>
      <c r="N7" s="212">
        <v>5.0999999999999997E-2</v>
      </c>
      <c r="O7" s="110"/>
      <c r="Q7" s="110"/>
      <c r="R7" s="112">
        <v>0.56682999999999995</v>
      </c>
      <c r="S7" s="112">
        <v>0.55135999999999996</v>
      </c>
      <c r="T7" s="110"/>
      <c r="U7" s="110"/>
      <c r="V7" s="110"/>
      <c r="W7" s="110"/>
    </row>
    <row r="8" spans="1:25" s="77" customFormat="1" x14ac:dyDescent="0.3">
      <c r="A8" s="83" t="s">
        <v>0</v>
      </c>
      <c r="B8" s="83" t="s">
        <v>1</v>
      </c>
      <c r="C8" s="83"/>
      <c r="D8" s="83" t="s">
        <v>3</v>
      </c>
      <c r="E8" s="84">
        <v>45522</v>
      </c>
      <c r="F8" s="83">
        <v>18</v>
      </c>
      <c r="G8" s="83" t="s">
        <v>104</v>
      </c>
      <c r="H8" s="219">
        <v>3768</v>
      </c>
      <c r="I8" s="87">
        <v>0.89149999999999996</v>
      </c>
      <c r="J8" s="88">
        <v>0.89149999999999996</v>
      </c>
      <c r="K8" s="199">
        <f t="shared" si="6"/>
        <v>3359.172</v>
      </c>
      <c r="L8" s="100">
        <f t="shared" si="7"/>
        <v>3768</v>
      </c>
      <c r="M8" s="199">
        <f t="shared" si="8"/>
        <v>3359.172</v>
      </c>
      <c r="N8" s="212">
        <v>0</v>
      </c>
      <c r="O8" s="110"/>
      <c r="Q8" s="110"/>
      <c r="R8" s="112">
        <v>0.88300999999999996</v>
      </c>
      <c r="S8" s="112">
        <v>0.88300999999999996</v>
      </c>
      <c r="T8" s="110"/>
      <c r="U8" s="110"/>
      <c r="V8" s="110"/>
      <c r="W8" s="110"/>
    </row>
    <row r="9" spans="1:25" s="77" customFormat="1" x14ac:dyDescent="0.3">
      <c r="A9" s="83" t="s">
        <v>0</v>
      </c>
      <c r="B9" s="83" t="s">
        <v>14</v>
      </c>
      <c r="C9" s="83" t="s">
        <v>127</v>
      </c>
      <c r="D9" s="83" t="s">
        <v>3</v>
      </c>
      <c r="E9" s="84">
        <v>45525</v>
      </c>
      <c r="F9" s="83">
        <v>18</v>
      </c>
      <c r="G9" s="83" t="s">
        <v>104</v>
      </c>
      <c r="H9" s="219">
        <v>7308</v>
      </c>
      <c r="I9" s="87">
        <v>0.97960000000000003</v>
      </c>
      <c r="J9" s="88">
        <v>0.95720000000000005</v>
      </c>
      <c r="K9" s="199">
        <f t="shared" ref="K9:K12" si="9">H9*I9</f>
        <v>7158.9168</v>
      </c>
      <c r="L9" s="100">
        <f t="shared" ref="L9:L12" si="10">H9*(1-N9)</f>
        <v>3200.9039999999995</v>
      </c>
      <c r="M9" s="199">
        <f t="shared" ref="M9:M12" si="11">J9*H9*(1-N9)</f>
        <v>3063.9053087999996</v>
      </c>
      <c r="N9" s="212">
        <v>0.56200000000000006</v>
      </c>
      <c r="S9" s="112">
        <v>0.85606000000000004</v>
      </c>
      <c r="T9" s="112">
        <v>0.79381999999999997</v>
      </c>
      <c r="U9" s="110">
        <v>1.9E-2</v>
      </c>
      <c r="V9" s="110">
        <v>6.0000000000000001E-3</v>
      </c>
      <c r="W9" s="110"/>
      <c r="X9" s="110"/>
      <c r="Y9" s="110"/>
    </row>
    <row r="10" spans="1:25" s="77" customFormat="1" x14ac:dyDescent="0.3">
      <c r="A10" s="83" t="s">
        <v>0</v>
      </c>
      <c r="B10" s="83" t="s">
        <v>14</v>
      </c>
      <c r="C10" s="83" t="s">
        <v>127</v>
      </c>
      <c r="D10" s="83" t="s">
        <v>3</v>
      </c>
      <c r="E10" s="84">
        <v>45525</v>
      </c>
      <c r="F10" s="83">
        <v>18</v>
      </c>
      <c r="G10" s="83" t="s">
        <v>104</v>
      </c>
      <c r="H10" s="219">
        <v>7182</v>
      </c>
      <c r="I10" s="87">
        <v>0.9103</v>
      </c>
      <c r="J10" s="88">
        <v>0.90629999999999999</v>
      </c>
      <c r="K10" s="199">
        <f t="shared" si="9"/>
        <v>6537.7745999999997</v>
      </c>
      <c r="L10" s="100">
        <f t="shared" si="10"/>
        <v>6743.8980000000001</v>
      </c>
      <c r="M10" s="199">
        <f t="shared" si="11"/>
        <v>6111.9947573999998</v>
      </c>
      <c r="N10" s="212">
        <v>6.0999999999999999E-2</v>
      </c>
      <c r="S10" s="112">
        <v>0.84338000000000002</v>
      </c>
      <c r="T10" s="112">
        <v>0.84679000000000004</v>
      </c>
      <c r="U10" s="110">
        <v>0.26500000000000001</v>
      </c>
      <c r="V10" s="110">
        <v>0.104</v>
      </c>
      <c r="W10" s="110"/>
      <c r="X10" s="110"/>
      <c r="Y10" s="110"/>
    </row>
    <row r="11" spans="1:25" s="77" customFormat="1" x14ac:dyDescent="0.3">
      <c r="A11" s="83" t="s">
        <v>0</v>
      </c>
      <c r="B11" s="83" t="s">
        <v>1</v>
      </c>
      <c r="C11" s="83" t="s">
        <v>127</v>
      </c>
      <c r="D11" s="83" t="s">
        <v>3</v>
      </c>
      <c r="E11" s="84">
        <v>45525</v>
      </c>
      <c r="F11" s="83">
        <v>18</v>
      </c>
      <c r="G11" s="83" t="s">
        <v>104</v>
      </c>
      <c r="H11" s="219">
        <v>7308</v>
      </c>
      <c r="I11" s="227">
        <v>0.86560000000000004</v>
      </c>
      <c r="J11" s="88">
        <v>0.86560000000000004</v>
      </c>
      <c r="K11" s="199">
        <f t="shared" si="9"/>
        <v>6325.8047999999999</v>
      </c>
      <c r="L11" s="100">
        <f t="shared" si="10"/>
        <v>7308</v>
      </c>
      <c r="M11" s="199">
        <f t="shared" si="11"/>
        <v>6325.8047999999999</v>
      </c>
      <c r="N11" s="212">
        <v>0</v>
      </c>
      <c r="S11" s="112">
        <v>0.74246999999999996</v>
      </c>
      <c r="T11" s="112">
        <v>0.74246999999999996</v>
      </c>
      <c r="U11" s="110">
        <v>0.29699999999999999</v>
      </c>
      <c r="V11" s="110">
        <v>0.115</v>
      </c>
      <c r="W11" s="110"/>
      <c r="X11" s="110"/>
      <c r="Y11" s="110"/>
    </row>
    <row r="12" spans="1:25" s="77" customFormat="1" x14ac:dyDescent="0.3">
      <c r="A12" s="83" t="s">
        <v>0</v>
      </c>
      <c r="B12" s="83" t="s">
        <v>1</v>
      </c>
      <c r="C12" s="83" t="s">
        <v>127</v>
      </c>
      <c r="D12" s="83" t="s">
        <v>3</v>
      </c>
      <c r="E12" s="84">
        <v>45525</v>
      </c>
      <c r="F12" s="83">
        <v>18</v>
      </c>
      <c r="G12" s="83" t="s">
        <v>104</v>
      </c>
      <c r="H12" s="219">
        <v>7152</v>
      </c>
      <c r="I12" s="227">
        <v>0.873</v>
      </c>
      <c r="J12" s="88">
        <v>0.873</v>
      </c>
      <c r="K12" s="199">
        <f t="shared" si="9"/>
        <v>6243.6959999999999</v>
      </c>
      <c r="L12" s="100">
        <f t="shared" si="10"/>
        <v>7152</v>
      </c>
      <c r="M12" s="199">
        <f t="shared" si="11"/>
        <v>6243.6959999999999</v>
      </c>
      <c r="N12" s="212">
        <v>0</v>
      </c>
      <c r="S12" s="112">
        <v>0.75502000000000002</v>
      </c>
      <c r="T12" s="112">
        <v>0.75502000000000002</v>
      </c>
      <c r="U12" s="110">
        <v>0.3</v>
      </c>
      <c r="V12" s="110">
        <v>0.11799999999999999</v>
      </c>
      <c r="W12" s="110"/>
      <c r="X12" s="110"/>
      <c r="Y12" s="110"/>
    </row>
    <row r="13" spans="1:25" s="66" customFormat="1" x14ac:dyDescent="0.3">
      <c r="A13" s="158" t="s">
        <v>0</v>
      </c>
      <c r="B13" s="229" t="s">
        <v>1</v>
      </c>
      <c r="C13" s="229" t="s">
        <v>122</v>
      </c>
      <c r="D13" s="158" t="s">
        <v>3</v>
      </c>
      <c r="E13" s="159">
        <v>45648</v>
      </c>
      <c r="F13" s="158">
        <v>18</v>
      </c>
      <c r="G13" s="158" t="s">
        <v>104</v>
      </c>
      <c r="H13" s="85">
        <v>6708</v>
      </c>
      <c r="I13" s="228">
        <v>0.88600000000000001</v>
      </c>
      <c r="J13" s="92">
        <v>0.88539999999999996</v>
      </c>
      <c r="K13" s="199">
        <f t="shared" ref="K13" si="12">H13*I13</f>
        <v>5943.2880000000005</v>
      </c>
      <c r="L13" s="100">
        <f t="shared" ref="L13" si="13">H13*(1-N13)</f>
        <v>3729.6480000000001</v>
      </c>
      <c r="M13" s="199">
        <f t="shared" ref="M13" si="14">J13*H13*(1-N13)</f>
        <v>3302.2303391999999</v>
      </c>
      <c r="N13" s="230">
        <v>0.44400000000000001</v>
      </c>
      <c r="O13" s="160"/>
      <c r="P13" s="85"/>
      <c r="Q13" s="85"/>
      <c r="R13" s="85"/>
      <c r="S13" s="85"/>
      <c r="T13" s="85"/>
      <c r="U13" s="85"/>
      <c r="V13" s="85"/>
      <c r="W13" s="85"/>
      <c r="X13" s="85"/>
      <c r="Y13" s="85"/>
    </row>
    <row r="14" spans="1:25" s="77" customFormat="1" x14ac:dyDescent="0.3">
      <c r="A14" s="83" t="s">
        <v>0</v>
      </c>
      <c r="B14" s="83" t="s">
        <v>14</v>
      </c>
      <c r="C14" s="83" t="s">
        <v>127</v>
      </c>
      <c r="D14" s="83" t="s">
        <v>3</v>
      </c>
      <c r="E14" s="84">
        <v>45531</v>
      </c>
      <c r="F14" s="83">
        <v>18</v>
      </c>
      <c r="G14" s="83" t="s">
        <v>104</v>
      </c>
      <c r="H14" s="219">
        <v>7836</v>
      </c>
      <c r="I14" s="87">
        <v>0.96950000000000003</v>
      </c>
      <c r="J14" s="88">
        <v>0.93899999999999995</v>
      </c>
      <c r="K14" s="199">
        <f t="shared" ref="K14:K16" si="15">H14*I14</f>
        <v>7597.0020000000004</v>
      </c>
      <c r="L14" s="100">
        <f t="shared" ref="L14:L16" si="16">H14*(1-N14)</f>
        <v>3918</v>
      </c>
      <c r="M14" s="199">
        <f t="shared" ref="M14:M16" si="17">J14*H14*(1-N14)</f>
        <v>3679.002</v>
      </c>
      <c r="N14" s="212">
        <v>0.5</v>
      </c>
      <c r="O14" s="112"/>
      <c r="P14" s="110"/>
      <c r="Q14" s="110"/>
      <c r="S14" s="110"/>
      <c r="T14" s="110"/>
      <c r="U14" s="110"/>
      <c r="V14" s="110"/>
      <c r="W14" s="110"/>
      <c r="X14" s="110"/>
      <c r="Y14" s="110"/>
    </row>
    <row r="15" spans="1:25" s="77" customFormat="1" x14ac:dyDescent="0.3">
      <c r="A15" s="83" t="s">
        <v>0</v>
      </c>
      <c r="B15" s="83" t="s">
        <v>14</v>
      </c>
      <c r="C15" s="83" t="s">
        <v>127</v>
      </c>
      <c r="D15" s="83" t="s">
        <v>3</v>
      </c>
      <c r="E15" s="84">
        <v>45531</v>
      </c>
      <c r="F15" s="83">
        <v>18</v>
      </c>
      <c r="G15" s="83" t="s">
        <v>104</v>
      </c>
      <c r="H15" s="219">
        <v>7470</v>
      </c>
      <c r="I15" s="87">
        <v>0.89600000000000002</v>
      </c>
      <c r="J15" s="88">
        <v>0.89600000000000002</v>
      </c>
      <c r="K15" s="199">
        <f t="shared" si="15"/>
        <v>6693.12</v>
      </c>
      <c r="L15" s="100">
        <f t="shared" si="16"/>
        <v>7470</v>
      </c>
      <c r="M15" s="199">
        <f t="shared" si="17"/>
        <v>6693.12</v>
      </c>
      <c r="N15" s="212">
        <v>0</v>
      </c>
      <c r="O15" s="112"/>
      <c r="P15" s="110"/>
      <c r="Q15" s="110"/>
      <c r="S15" s="110"/>
      <c r="T15" s="110"/>
      <c r="U15" s="110"/>
      <c r="V15" s="110"/>
      <c r="W15" s="110"/>
      <c r="X15" s="110"/>
      <c r="Y15" s="110"/>
    </row>
    <row r="16" spans="1:25" s="77" customFormat="1" x14ac:dyDescent="0.3">
      <c r="A16" s="83" t="s">
        <v>0</v>
      </c>
      <c r="B16" s="83" t="s">
        <v>1</v>
      </c>
      <c r="C16" s="83" t="s">
        <v>127</v>
      </c>
      <c r="D16" s="83" t="s">
        <v>3</v>
      </c>
      <c r="E16" s="231">
        <v>45667</v>
      </c>
      <c r="F16" s="83">
        <v>18</v>
      </c>
      <c r="G16" s="83" t="s">
        <v>104</v>
      </c>
      <c r="H16" s="110">
        <v>7380</v>
      </c>
      <c r="I16" s="87">
        <v>0.90049999999999997</v>
      </c>
      <c r="J16" s="88">
        <v>0.90049999999999997</v>
      </c>
      <c r="K16" s="199">
        <f t="shared" si="15"/>
        <v>6645.69</v>
      </c>
      <c r="L16" s="100">
        <f t="shared" si="16"/>
        <v>7380</v>
      </c>
      <c r="M16" s="199">
        <f t="shared" si="17"/>
        <v>6645.69</v>
      </c>
      <c r="N16" s="230">
        <v>0</v>
      </c>
      <c r="O16" s="160"/>
      <c r="P16" s="85">
        <v>0.27400000000000002</v>
      </c>
      <c r="Q16" s="85">
        <v>0.1</v>
      </c>
    </row>
    <row r="17" spans="1:25" s="77" customFormat="1" x14ac:dyDescent="0.3">
      <c r="A17" s="158" t="s">
        <v>0</v>
      </c>
      <c r="B17" s="158" t="s">
        <v>1</v>
      </c>
      <c r="C17" s="158" t="s">
        <v>127</v>
      </c>
      <c r="D17" s="158" t="s">
        <v>3</v>
      </c>
      <c r="E17" s="232">
        <v>45667</v>
      </c>
      <c r="F17" s="158">
        <v>18</v>
      </c>
      <c r="G17" s="158" t="s">
        <v>104</v>
      </c>
      <c r="H17" s="85">
        <v>6858</v>
      </c>
      <c r="I17" s="91">
        <v>0.90229999999999999</v>
      </c>
      <c r="J17" s="92">
        <v>0.90229999999999999</v>
      </c>
      <c r="K17" s="199">
        <f t="shared" ref="K17" si="18">H17*I17</f>
        <v>6187.9733999999999</v>
      </c>
      <c r="L17" s="100">
        <f t="shared" ref="L17" si="19">H17*(1-N17)</f>
        <v>6858</v>
      </c>
      <c r="M17" s="199">
        <f t="shared" ref="M17" si="20">J17*H17*(1-N17)</f>
        <v>6187.9733999999999</v>
      </c>
      <c r="N17" s="230">
        <v>0</v>
      </c>
      <c r="O17" s="160"/>
      <c r="P17" s="85">
        <v>0.29699999999999999</v>
      </c>
      <c r="Q17" s="85">
        <v>0.111</v>
      </c>
    </row>
    <row r="18" spans="1:25" s="77" customFormat="1" x14ac:dyDescent="0.3">
      <c r="A18" s="83" t="s">
        <v>0</v>
      </c>
      <c r="B18" s="83" t="s">
        <v>14</v>
      </c>
      <c r="C18" s="83" t="s">
        <v>122</v>
      </c>
      <c r="D18" s="83" t="s">
        <v>3</v>
      </c>
      <c r="E18" s="84">
        <v>45532</v>
      </c>
      <c r="F18" s="83">
        <v>18</v>
      </c>
      <c r="G18" s="83" t="s">
        <v>104</v>
      </c>
      <c r="H18" s="219">
        <v>7632</v>
      </c>
      <c r="I18" s="87">
        <v>0.96789999999999998</v>
      </c>
      <c r="J18" s="88">
        <v>0.93579999999999997</v>
      </c>
      <c r="K18" s="199">
        <f t="shared" ref="K18:K21" si="21">H18*I18</f>
        <v>7387.0127999999995</v>
      </c>
      <c r="L18" s="100">
        <f t="shared" ref="L18:L21" si="22">H18*(1-N18)</f>
        <v>3816</v>
      </c>
      <c r="M18" s="199">
        <f t="shared" ref="M18:M21" si="23">J18*H18*(1-N18)</f>
        <v>3571.0128</v>
      </c>
      <c r="N18" s="212">
        <v>0.5</v>
      </c>
      <c r="O18" s="110"/>
      <c r="P18" s="110"/>
      <c r="Q18" s="110"/>
      <c r="S18" s="110"/>
      <c r="T18" s="110"/>
      <c r="U18" s="110"/>
    </row>
    <row r="19" spans="1:25" s="77" customFormat="1" x14ac:dyDescent="0.3">
      <c r="A19" s="83" t="s">
        <v>0</v>
      </c>
      <c r="B19" s="83" t="s">
        <v>14</v>
      </c>
      <c r="C19" s="83" t="s">
        <v>122</v>
      </c>
      <c r="D19" s="83" t="s">
        <v>3</v>
      </c>
      <c r="E19" s="84">
        <v>45532</v>
      </c>
      <c r="F19" s="83">
        <v>18</v>
      </c>
      <c r="G19" s="83" t="s">
        <v>104</v>
      </c>
      <c r="H19" s="219">
        <v>7542</v>
      </c>
      <c r="I19" s="87">
        <v>0.90820000000000001</v>
      </c>
      <c r="J19" s="88">
        <v>0.90820000000000001</v>
      </c>
      <c r="K19" s="199">
        <f t="shared" si="21"/>
        <v>6849.6444000000001</v>
      </c>
      <c r="L19" s="100">
        <f t="shared" si="22"/>
        <v>7542</v>
      </c>
      <c r="M19" s="199">
        <f t="shared" si="23"/>
        <v>6849.6444000000001</v>
      </c>
      <c r="N19" s="212">
        <v>0</v>
      </c>
      <c r="O19" s="110"/>
      <c r="P19" s="110"/>
      <c r="Q19" s="110"/>
      <c r="S19" s="110"/>
      <c r="T19" s="110"/>
      <c r="U19" s="110"/>
    </row>
    <row r="20" spans="1:25" s="77" customFormat="1" x14ac:dyDescent="0.3">
      <c r="A20" s="158" t="s">
        <v>0</v>
      </c>
      <c r="B20" s="158" t="s">
        <v>1</v>
      </c>
      <c r="C20" s="158" t="s">
        <v>122</v>
      </c>
      <c r="D20" s="158" t="s">
        <v>3</v>
      </c>
      <c r="E20" s="159">
        <v>45667</v>
      </c>
      <c r="F20" s="158">
        <v>18</v>
      </c>
      <c r="G20" s="158" t="s">
        <v>104</v>
      </c>
      <c r="H20" s="85">
        <v>7560</v>
      </c>
      <c r="I20" s="91">
        <v>0.88370000000000004</v>
      </c>
      <c r="J20" s="160">
        <v>0.88370000000000004</v>
      </c>
      <c r="K20" s="199">
        <f t="shared" si="21"/>
        <v>6680.7719999999999</v>
      </c>
      <c r="L20" s="100">
        <f t="shared" si="22"/>
        <v>7560</v>
      </c>
      <c r="M20" s="199">
        <f t="shared" si="23"/>
        <v>6680.7719999999999</v>
      </c>
      <c r="N20" s="212">
        <v>0</v>
      </c>
      <c r="O20" s="160"/>
      <c r="P20" s="85">
        <v>0.30499999999999999</v>
      </c>
      <c r="Q20" s="85">
        <v>0.115</v>
      </c>
    </row>
    <row r="21" spans="1:25" s="77" customFormat="1" x14ac:dyDescent="0.3">
      <c r="A21" s="158" t="s">
        <v>0</v>
      </c>
      <c r="B21" s="158" t="s">
        <v>1</v>
      </c>
      <c r="C21" s="158" t="s">
        <v>122</v>
      </c>
      <c r="D21" s="158" t="s">
        <v>3</v>
      </c>
      <c r="E21" s="159">
        <v>45667</v>
      </c>
      <c r="F21" s="158">
        <v>18</v>
      </c>
      <c r="G21" s="158" t="s">
        <v>104</v>
      </c>
      <c r="H21" s="85">
        <v>7152</v>
      </c>
      <c r="I21" s="91">
        <v>0.89770000000000005</v>
      </c>
      <c r="J21" s="160">
        <v>0.89510000000000001</v>
      </c>
      <c r="K21" s="199">
        <f t="shared" si="21"/>
        <v>6420.3504000000003</v>
      </c>
      <c r="L21" s="100">
        <f t="shared" si="22"/>
        <v>6730.0320000000002</v>
      </c>
      <c r="M21" s="199">
        <f t="shared" si="23"/>
        <v>6024.0516432000004</v>
      </c>
      <c r="N21" s="230">
        <v>5.8999999999999997E-2</v>
      </c>
      <c r="O21" s="160"/>
      <c r="P21" s="85">
        <v>0.24299999999999999</v>
      </c>
      <c r="Q21" s="85">
        <v>0.09</v>
      </c>
    </row>
    <row r="22" spans="1:25" s="77" customFormat="1" x14ac:dyDescent="0.3">
      <c r="A22" s="83" t="s">
        <v>0</v>
      </c>
      <c r="B22" s="83" t="s">
        <v>14</v>
      </c>
      <c r="C22" s="83"/>
      <c r="D22" s="83" t="s">
        <v>3</v>
      </c>
      <c r="E22" s="84">
        <v>45532</v>
      </c>
      <c r="F22" s="83">
        <v>18</v>
      </c>
      <c r="G22" s="83" t="s">
        <v>104</v>
      </c>
      <c r="H22" s="219">
        <v>3852</v>
      </c>
      <c r="I22" s="217">
        <v>0.94179999999999997</v>
      </c>
      <c r="J22" s="88">
        <v>0.91830000000000001</v>
      </c>
      <c r="K22" s="199">
        <f t="shared" ref="K22:K25" si="24">H22*I22</f>
        <v>3627.8136</v>
      </c>
      <c r="L22" s="100">
        <f t="shared" ref="L22:L25" si="25">H22*(1-N22)</f>
        <v>1702.5839999999998</v>
      </c>
      <c r="M22" s="199">
        <f t="shared" ref="M22:M25" si="26">J22*H22*(1-N22)</f>
        <v>1563.4828871999998</v>
      </c>
      <c r="N22" s="212">
        <v>0.55800000000000005</v>
      </c>
      <c r="O22" s="112"/>
      <c r="P22" s="110"/>
      <c r="Q22" s="110"/>
      <c r="S22" s="110"/>
      <c r="T22" s="110"/>
      <c r="U22" s="110"/>
      <c r="V22" s="110"/>
      <c r="W22" s="110"/>
      <c r="X22" s="110"/>
      <c r="Y22" s="110"/>
    </row>
    <row r="23" spans="1:25" s="77" customFormat="1" x14ac:dyDescent="0.3">
      <c r="A23" s="83" t="s">
        <v>0</v>
      </c>
      <c r="B23" s="83" t="s">
        <v>14</v>
      </c>
      <c r="C23" s="83"/>
      <c r="D23" s="83" t="s">
        <v>3</v>
      </c>
      <c r="E23" s="84">
        <v>45532</v>
      </c>
      <c r="F23" s="83">
        <v>18</v>
      </c>
      <c r="G23" s="83" t="s">
        <v>104</v>
      </c>
      <c r="H23" s="219">
        <v>3450</v>
      </c>
      <c r="I23" s="217">
        <v>0.89039999999999997</v>
      </c>
      <c r="J23" s="88">
        <v>0.89039999999999997</v>
      </c>
      <c r="K23" s="199">
        <f t="shared" si="24"/>
        <v>3071.88</v>
      </c>
      <c r="L23" s="100">
        <f t="shared" si="25"/>
        <v>3450</v>
      </c>
      <c r="M23" s="199">
        <f t="shared" si="26"/>
        <v>3071.88</v>
      </c>
      <c r="N23" s="212">
        <v>0</v>
      </c>
      <c r="O23" s="112"/>
      <c r="P23" s="110"/>
      <c r="Q23" s="110"/>
      <c r="S23" s="110"/>
      <c r="T23" s="110"/>
      <c r="U23" s="110"/>
      <c r="V23" s="110"/>
      <c r="W23" s="110"/>
      <c r="X23" s="110"/>
      <c r="Y23" s="110"/>
    </row>
    <row r="24" spans="1:25" s="77" customFormat="1" x14ac:dyDescent="0.3">
      <c r="A24" s="83" t="s">
        <v>0</v>
      </c>
      <c r="B24" s="83" t="s">
        <v>1</v>
      </c>
      <c r="C24" s="83"/>
      <c r="D24" s="83" t="s">
        <v>3</v>
      </c>
      <c r="E24" s="84">
        <v>45532</v>
      </c>
      <c r="F24" s="83">
        <v>18</v>
      </c>
      <c r="G24" s="83" t="s">
        <v>104</v>
      </c>
      <c r="H24" s="219">
        <v>3858</v>
      </c>
      <c r="I24" s="217">
        <v>0.73770000000000002</v>
      </c>
      <c r="J24" s="88">
        <v>0.73770000000000002</v>
      </c>
      <c r="K24" s="199">
        <f t="shared" si="24"/>
        <v>2846.0466000000001</v>
      </c>
      <c r="L24" s="100">
        <f t="shared" si="25"/>
        <v>3858</v>
      </c>
      <c r="M24" s="199">
        <f t="shared" si="26"/>
        <v>2846.0466000000001</v>
      </c>
      <c r="N24" s="212">
        <v>0</v>
      </c>
      <c r="O24" s="112"/>
      <c r="P24" s="110"/>
      <c r="Q24" s="110"/>
      <c r="S24" s="110"/>
      <c r="T24" s="110"/>
      <c r="U24" s="110"/>
      <c r="V24" s="110"/>
      <c r="W24" s="110"/>
      <c r="X24" s="110"/>
      <c r="Y24" s="110"/>
    </row>
    <row r="25" spans="1:25" s="77" customFormat="1" x14ac:dyDescent="0.3">
      <c r="A25" s="83" t="s">
        <v>0</v>
      </c>
      <c r="B25" s="83" t="s">
        <v>1</v>
      </c>
      <c r="C25" s="83"/>
      <c r="D25" s="83" t="s">
        <v>3</v>
      </c>
      <c r="E25" s="84">
        <v>45532</v>
      </c>
      <c r="F25" s="83">
        <v>18</v>
      </c>
      <c r="G25" s="83" t="s">
        <v>104</v>
      </c>
      <c r="H25" s="219">
        <v>3450</v>
      </c>
      <c r="I25" s="217">
        <v>0.88139999999999996</v>
      </c>
      <c r="J25" s="88">
        <v>0.88139999999999996</v>
      </c>
      <c r="K25" s="199">
        <f t="shared" si="24"/>
        <v>3040.83</v>
      </c>
      <c r="L25" s="100">
        <f t="shared" si="25"/>
        <v>3450</v>
      </c>
      <c r="M25" s="199">
        <f t="shared" si="26"/>
        <v>3040.83</v>
      </c>
      <c r="N25" s="212">
        <v>0</v>
      </c>
      <c r="O25" s="112"/>
      <c r="P25" s="110"/>
      <c r="Q25" s="110"/>
      <c r="S25" s="110"/>
      <c r="T25" s="110"/>
      <c r="U25" s="110"/>
      <c r="V25" s="110"/>
      <c r="W25" s="110"/>
      <c r="X25" s="110"/>
      <c r="Y25" s="110"/>
    </row>
    <row r="26" spans="1:25" s="66" customFormat="1" x14ac:dyDescent="0.3">
      <c r="A26" s="158" t="s">
        <v>0</v>
      </c>
      <c r="B26" s="158" t="s">
        <v>1</v>
      </c>
      <c r="C26" s="158" t="s">
        <v>135</v>
      </c>
      <c r="D26" s="158" t="s">
        <v>3</v>
      </c>
      <c r="E26" s="159">
        <v>45692</v>
      </c>
      <c r="F26" s="158">
        <v>18</v>
      </c>
      <c r="G26" s="158" t="s">
        <v>104</v>
      </c>
      <c r="H26" s="85">
        <v>7140</v>
      </c>
      <c r="I26" s="91">
        <v>0.8891</v>
      </c>
      <c r="J26" s="92">
        <v>0.88629999999999998</v>
      </c>
      <c r="K26" s="199">
        <f t="shared" ref="K26:K33" si="27">H26*I26</f>
        <v>6348.174</v>
      </c>
      <c r="L26" s="100">
        <f t="shared" ref="L26:L33" si="28">H26*(1-N26)</f>
        <v>6683.04</v>
      </c>
      <c r="M26" s="199">
        <f t="shared" ref="M26:M33" si="29">J26*H26*(1-N26)</f>
        <v>5923.178351999999</v>
      </c>
      <c r="N26" s="230">
        <v>6.4000000000000001E-2</v>
      </c>
      <c r="P26" s="160">
        <v>0.82642000000000004</v>
      </c>
      <c r="Q26" s="160">
        <v>0.82586999999999999</v>
      </c>
      <c r="R26" s="85">
        <v>0.251</v>
      </c>
      <c r="S26" s="85">
        <v>9.2999999999999999E-2</v>
      </c>
      <c r="T26" s="85"/>
      <c r="U26" s="85"/>
    </row>
    <row r="27" spans="1:25" s="66" customFormat="1" x14ac:dyDescent="0.3">
      <c r="A27" s="158" t="s">
        <v>0</v>
      </c>
      <c r="B27" s="158" t="s">
        <v>1</v>
      </c>
      <c r="C27" s="158" t="s">
        <v>135</v>
      </c>
      <c r="D27" s="158" t="s">
        <v>3</v>
      </c>
      <c r="E27" s="159">
        <v>45692</v>
      </c>
      <c r="F27" s="158">
        <v>18</v>
      </c>
      <c r="G27" s="158" t="s">
        <v>104</v>
      </c>
      <c r="H27" s="85">
        <v>6714</v>
      </c>
      <c r="I27" s="91">
        <v>0.88429999999999997</v>
      </c>
      <c r="J27" s="92">
        <v>0.88429999999999997</v>
      </c>
      <c r="K27" s="199">
        <f t="shared" si="27"/>
        <v>5937.1902</v>
      </c>
      <c r="L27" s="100">
        <f t="shared" si="28"/>
        <v>6714</v>
      </c>
      <c r="M27" s="199">
        <f t="shared" si="29"/>
        <v>5937.1902</v>
      </c>
      <c r="N27" s="230">
        <v>0</v>
      </c>
      <c r="P27" s="160">
        <v>0.82640999999999998</v>
      </c>
      <c r="Q27" s="160">
        <v>0.82640999999999998</v>
      </c>
      <c r="R27" s="85">
        <v>0.29199999999999998</v>
      </c>
      <c r="S27" s="85">
        <v>0.109</v>
      </c>
      <c r="T27" s="85"/>
      <c r="U27" s="85"/>
    </row>
    <row r="28" spans="1:25" s="66" customFormat="1" x14ac:dyDescent="0.3">
      <c r="A28" s="158" t="s">
        <v>0</v>
      </c>
      <c r="B28" s="158" t="s">
        <v>14</v>
      </c>
      <c r="C28" s="158" t="s">
        <v>135</v>
      </c>
      <c r="D28" s="158" t="s">
        <v>3</v>
      </c>
      <c r="E28" s="159">
        <v>45692</v>
      </c>
      <c r="F28" s="158">
        <v>18</v>
      </c>
      <c r="G28" s="158" t="s">
        <v>104</v>
      </c>
      <c r="H28" s="85">
        <v>6942</v>
      </c>
      <c r="I28" s="91">
        <v>0.46239999999999998</v>
      </c>
      <c r="J28" s="92">
        <v>0.92479999999999996</v>
      </c>
      <c r="K28" s="199">
        <f t="shared" si="27"/>
        <v>3209.9807999999998</v>
      </c>
      <c r="L28" s="100">
        <f t="shared" si="28"/>
        <v>3471</v>
      </c>
      <c r="M28" s="199">
        <f t="shared" si="29"/>
        <v>3209.9807999999998</v>
      </c>
      <c r="N28" s="230">
        <v>0.5</v>
      </c>
      <c r="P28" s="160">
        <v>0.56059999999999999</v>
      </c>
      <c r="Q28" s="160">
        <v>0.87439999999999996</v>
      </c>
      <c r="R28" s="85">
        <v>2.1000000000000001E-2</v>
      </c>
      <c r="S28" s="85">
        <v>6.0000000000000001E-3</v>
      </c>
      <c r="T28" s="85"/>
      <c r="U28" s="85"/>
    </row>
    <row r="29" spans="1:25" s="66" customFormat="1" x14ac:dyDescent="0.3">
      <c r="A29" s="158" t="s">
        <v>0</v>
      </c>
      <c r="B29" s="158" t="s">
        <v>14</v>
      </c>
      <c r="C29" s="158" t="s">
        <v>135</v>
      </c>
      <c r="D29" s="158" t="s">
        <v>3</v>
      </c>
      <c r="E29" s="159">
        <v>45692</v>
      </c>
      <c r="F29" s="158">
        <v>18</v>
      </c>
      <c r="G29" s="158" t="s">
        <v>104</v>
      </c>
      <c r="H29" s="85">
        <v>5934</v>
      </c>
      <c r="I29" s="91">
        <v>0.89300000000000002</v>
      </c>
      <c r="J29" s="92">
        <v>0.89300000000000002</v>
      </c>
      <c r="K29" s="199">
        <f t="shared" si="27"/>
        <v>5299.0619999999999</v>
      </c>
      <c r="L29" s="100">
        <f t="shared" si="28"/>
        <v>5934</v>
      </c>
      <c r="M29" s="199">
        <f t="shared" si="29"/>
        <v>5299.0619999999999</v>
      </c>
      <c r="N29" s="230">
        <v>0</v>
      </c>
      <c r="P29" s="160">
        <v>0.78917999999999999</v>
      </c>
      <c r="Q29" s="160">
        <v>0.78917999999999999</v>
      </c>
      <c r="R29" s="85">
        <v>0.215</v>
      </c>
      <c r="S29" s="85">
        <v>8.1000000000000003E-2</v>
      </c>
      <c r="T29" s="85"/>
      <c r="U29" s="85"/>
    </row>
    <row r="30" spans="1:25" s="66" customFormat="1" x14ac:dyDescent="0.3">
      <c r="A30" s="158" t="s">
        <v>0</v>
      </c>
      <c r="B30" s="158" t="s">
        <v>14</v>
      </c>
      <c r="C30" s="158" t="s">
        <v>135</v>
      </c>
      <c r="D30" s="158" t="s">
        <v>3</v>
      </c>
      <c r="E30" s="159">
        <v>45692</v>
      </c>
      <c r="F30" s="158">
        <v>18</v>
      </c>
      <c r="G30" s="158" t="s">
        <v>104</v>
      </c>
      <c r="H30" s="85">
        <v>7962</v>
      </c>
      <c r="I30" s="91">
        <v>0.44750000000000001</v>
      </c>
      <c r="J30" s="92">
        <v>0.90059999999999996</v>
      </c>
      <c r="K30" s="199">
        <f t="shared" si="27"/>
        <v>3562.9949999999999</v>
      </c>
      <c r="L30" s="100">
        <f t="shared" si="28"/>
        <v>3527.1659999999997</v>
      </c>
      <c r="M30" s="199">
        <f t="shared" si="29"/>
        <v>3176.5656995999993</v>
      </c>
      <c r="N30" s="230">
        <v>0.55700000000000005</v>
      </c>
      <c r="P30" s="160">
        <v>0.53541000000000005</v>
      </c>
      <c r="Q30" s="160">
        <v>0.87141999999999997</v>
      </c>
      <c r="R30" s="85">
        <v>3.6999999999999998E-2</v>
      </c>
      <c r="S30" s="85">
        <v>1.2999999999999999E-2</v>
      </c>
      <c r="T30" s="85"/>
      <c r="U30" s="85"/>
    </row>
    <row r="31" spans="1:25" s="66" customFormat="1" x14ac:dyDescent="0.3">
      <c r="A31" s="158" t="s">
        <v>0</v>
      </c>
      <c r="B31" s="158" t="s">
        <v>14</v>
      </c>
      <c r="C31" s="158" t="s">
        <v>135</v>
      </c>
      <c r="D31" s="158" t="s">
        <v>3</v>
      </c>
      <c r="E31" s="159">
        <v>45692</v>
      </c>
      <c r="F31" s="158">
        <v>18</v>
      </c>
      <c r="G31" s="158" t="s">
        <v>104</v>
      </c>
      <c r="H31" s="85">
        <v>6966</v>
      </c>
      <c r="I31" s="91">
        <v>0.86350000000000005</v>
      </c>
      <c r="J31" s="92">
        <v>0.86350000000000005</v>
      </c>
      <c r="K31" s="199">
        <f t="shared" si="27"/>
        <v>6015.1410000000005</v>
      </c>
      <c r="L31" s="100">
        <f t="shared" si="28"/>
        <v>6966</v>
      </c>
      <c r="M31" s="199">
        <f t="shared" si="29"/>
        <v>6015.1410000000005</v>
      </c>
      <c r="N31" s="230">
        <v>0</v>
      </c>
      <c r="P31" s="160">
        <v>0.79698999999999998</v>
      </c>
      <c r="Q31" s="160">
        <v>0.79698999999999998</v>
      </c>
      <c r="R31" s="85">
        <v>0.27200000000000002</v>
      </c>
      <c r="S31" s="85">
        <v>9.9000000000000005E-2</v>
      </c>
      <c r="T31" s="85"/>
      <c r="U31" s="85"/>
    </row>
    <row r="32" spans="1:25" s="66" customFormat="1" x14ac:dyDescent="0.3">
      <c r="A32" s="158" t="s">
        <v>0</v>
      </c>
      <c r="B32" s="158" t="s">
        <v>1</v>
      </c>
      <c r="C32" s="158" t="s">
        <v>135</v>
      </c>
      <c r="D32" s="158" t="s">
        <v>3</v>
      </c>
      <c r="E32" s="159">
        <v>45692</v>
      </c>
      <c r="F32" s="158">
        <v>18</v>
      </c>
      <c r="G32" s="158" t="s">
        <v>104</v>
      </c>
      <c r="H32" s="85">
        <v>7998</v>
      </c>
      <c r="I32" s="91">
        <v>0.84609999999999996</v>
      </c>
      <c r="J32" s="92">
        <v>0.84609999999999996</v>
      </c>
      <c r="K32" s="199">
        <f t="shared" si="27"/>
        <v>6767.1077999999998</v>
      </c>
      <c r="L32" s="100">
        <f t="shared" si="28"/>
        <v>7998</v>
      </c>
      <c r="M32" s="199">
        <f t="shared" si="29"/>
        <v>6767.1077999999998</v>
      </c>
      <c r="N32" s="230">
        <v>0</v>
      </c>
      <c r="P32" s="160">
        <v>0.8427</v>
      </c>
      <c r="Q32" s="160">
        <v>0.8427</v>
      </c>
      <c r="R32" s="85">
        <v>0.34100000000000003</v>
      </c>
      <c r="S32" s="85">
        <v>0.13</v>
      </c>
      <c r="T32" s="85"/>
      <c r="U32" s="85"/>
    </row>
    <row r="33" spans="1:21" s="66" customFormat="1" x14ac:dyDescent="0.3">
      <c r="A33" s="158" t="s">
        <v>0</v>
      </c>
      <c r="B33" s="158" t="s">
        <v>1</v>
      </c>
      <c r="C33" s="158" t="s">
        <v>135</v>
      </c>
      <c r="D33" s="158" t="s">
        <v>3</v>
      </c>
      <c r="E33" s="159">
        <v>45692</v>
      </c>
      <c r="F33" s="158">
        <v>18</v>
      </c>
      <c r="G33" s="158" t="s">
        <v>104</v>
      </c>
      <c r="H33" s="85">
        <v>6744</v>
      </c>
      <c r="I33" s="91">
        <v>0.85599999999999998</v>
      </c>
      <c r="J33" s="92">
        <v>0.85599999999999998</v>
      </c>
      <c r="K33" s="199">
        <f t="shared" si="27"/>
        <v>5772.8639999999996</v>
      </c>
      <c r="L33" s="100">
        <f t="shared" si="28"/>
        <v>6744</v>
      </c>
      <c r="M33" s="199">
        <f t="shared" si="29"/>
        <v>5772.8639999999996</v>
      </c>
      <c r="N33" s="230">
        <v>0</v>
      </c>
      <c r="P33" s="160">
        <v>0.84186000000000005</v>
      </c>
      <c r="Q33" s="160">
        <v>0.84186000000000005</v>
      </c>
      <c r="R33" s="85">
        <v>0.28999999999999998</v>
      </c>
      <c r="S33" s="85">
        <v>0.107</v>
      </c>
      <c r="T33" s="85"/>
      <c r="U33" s="85"/>
    </row>
    <row r="34" spans="1:21" s="66" customFormat="1" x14ac:dyDescent="0.3">
      <c r="A34" s="158" t="s">
        <v>0</v>
      </c>
      <c r="B34" s="158" t="s">
        <v>1</v>
      </c>
      <c r="C34" s="158"/>
      <c r="D34" s="158" t="s">
        <v>3</v>
      </c>
      <c r="E34" s="159">
        <v>45693</v>
      </c>
      <c r="F34" s="158">
        <v>18</v>
      </c>
      <c r="G34" s="158" t="s">
        <v>104</v>
      </c>
      <c r="H34" s="85">
        <v>3588</v>
      </c>
      <c r="I34" s="91">
        <v>0.74109999999999998</v>
      </c>
      <c r="J34" s="92">
        <v>0.74109999999999998</v>
      </c>
      <c r="K34" s="199">
        <f t="shared" ref="K34:K37" si="30">H34*I34</f>
        <v>2659.0668000000001</v>
      </c>
      <c r="L34" s="100">
        <f t="shared" ref="L34:L37" si="31">H34*(1-N34)</f>
        <v>3588</v>
      </c>
      <c r="M34" s="199">
        <f t="shared" ref="M34:M37" si="32">J34*H34*(1-N34)</f>
        <v>2659.0668000000001</v>
      </c>
      <c r="N34" s="230">
        <v>0</v>
      </c>
      <c r="O34" s="85"/>
      <c r="P34" s="160">
        <v>0.55923999999999996</v>
      </c>
      <c r="Q34" s="160">
        <v>0.55923999999999996</v>
      </c>
      <c r="R34" s="85">
        <v>0.31</v>
      </c>
      <c r="S34" s="85">
        <v>0.11700000000000001</v>
      </c>
      <c r="T34" s="85"/>
      <c r="U34" s="85"/>
    </row>
    <row r="35" spans="1:21" s="66" customFormat="1" x14ac:dyDescent="0.3">
      <c r="A35" s="158" t="s">
        <v>0</v>
      </c>
      <c r="B35" s="158" t="s">
        <v>1</v>
      </c>
      <c r="C35" s="158"/>
      <c r="D35" s="158" t="s">
        <v>3</v>
      </c>
      <c r="E35" s="159">
        <v>45693</v>
      </c>
      <c r="F35" s="158">
        <v>18</v>
      </c>
      <c r="G35" s="158" t="s">
        <v>104</v>
      </c>
      <c r="H35" s="85">
        <v>2940</v>
      </c>
      <c r="I35" s="91">
        <v>0.90069999999999995</v>
      </c>
      <c r="J35" s="92">
        <v>0.90069999999999995</v>
      </c>
      <c r="K35" s="199">
        <f t="shared" si="30"/>
        <v>2648.058</v>
      </c>
      <c r="L35" s="100">
        <f t="shared" si="31"/>
        <v>2940</v>
      </c>
      <c r="M35" s="199">
        <f t="shared" si="32"/>
        <v>2648.058</v>
      </c>
      <c r="N35" s="230">
        <v>0</v>
      </c>
      <c r="O35" s="85"/>
      <c r="P35" s="160">
        <v>0.89654</v>
      </c>
      <c r="Q35" s="160">
        <v>0.89654</v>
      </c>
      <c r="R35" s="85">
        <v>0.28299999999999997</v>
      </c>
      <c r="S35" s="85">
        <v>0.108</v>
      </c>
      <c r="T35" s="85"/>
      <c r="U35" s="85"/>
    </row>
    <row r="36" spans="1:21" s="66" customFormat="1" x14ac:dyDescent="0.3">
      <c r="A36" s="158" t="s">
        <v>0</v>
      </c>
      <c r="B36" s="158" t="s">
        <v>14</v>
      </c>
      <c r="C36" s="158"/>
      <c r="D36" s="158" t="s">
        <v>3</v>
      </c>
      <c r="E36" s="159">
        <v>45693</v>
      </c>
      <c r="F36" s="158">
        <v>18</v>
      </c>
      <c r="G36" s="158" t="s">
        <v>104</v>
      </c>
      <c r="H36" s="85">
        <v>3588</v>
      </c>
      <c r="I36" s="91">
        <v>0.9395</v>
      </c>
      <c r="J36" s="92">
        <v>0.879</v>
      </c>
      <c r="K36" s="199">
        <f t="shared" si="30"/>
        <v>3370.9259999999999</v>
      </c>
      <c r="L36" s="100">
        <f t="shared" si="31"/>
        <v>1794</v>
      </c>
      <c r="M36" s="199">
        <f t="shared" si="32"/>
        <v>1576.9259999999999</v>
      </c>
      <c r="N36" s="230">
        <v>0.5</v>
      </c>
      <c r="O36" s="85"/>
      <c r="P36" s="160">
        <v>0.85094000000000003</v>
      </c>
      <c r="Q36" s="160">
        <v>0.70186999999999999</v>
      </c>
      <c r="R36" s="85">
        <v>2.7E-2</v>
      </c>
      <c r="S36" s="85">
        <v>8.0000000000000002E-3</v>
      </c>
      <c r="T36" s="85"/>
      <c r="U36" s="85"/>
    </row>
    <row r="37" spans="1:21" s="66" customFormat="1" x14ac:dyDescent="0.3">
      <c r="A37" s="158" t="s">
        <v>0</v>
      </c>
      <c r="B37" s="158" t="s">
        <v>14</v>
      </c>
      <c r="C37" s="158"/>
      <c r="D37" s="158" t="s">
        <v>3</v>
      </c>
      <c r="E37" s="159">
        <v>45693</v>
      </c>
      <c r="F37" s="158">
        <v>18</v>
      </c>
      <c r="G37" s="158" t="s">
        <v>104</v>
      </c>
      <c r="H37" s="85">
        <v>2940</v>
      </c>
      <c r="I37" s="91">
        <v>0.88780000000000003</v>
      </c>
      <c r="J37" s="92">
        <v>0.88780000000000003</v>
      </c>
      <c r="K37" s="199">
        <f t="shared" si="30"/>
        <v>2610.1320000000001</v>
      </c>
      <c r="L37" s="100">
        <f t="shared" si="31"/>
        <v>2940</v>
      </c>
      <c r="M37" s="199">
        <f t="shared" si="32"/>
        <v>2610.1320000000001</v>
      </c>
      <c r="N37" s="230">
        <v>0</v>
      </c>
      <c r="O37" s="85"/>
      <c r="P37" s="160">
        <v>0.87519000000000002</v>
      </c>
      <c r="Q37" s="160">
        <v>0.87519000000000002</v>
      </c>
      <c r="R37" s="85">
        <v>0.27600000000000002</v>
      </c>
      <c r="S37" s="85">
        <v>0.10199999999999999</v>
      </c>
      <c r="T37" s="85"/>
      <c r="U37" s="85"/>
    </row>
    <row r="38" spans="1:21" s="66" customFormat="1" x14ac:dyDescent="0.3">
      <c r="A38" s="158" t="s">
        <v>0</v>
      </c>
      <c r="B38" s="158" t="s">
        <v>1</v>
      </c>
      <c r="C38" s="158"/>
      <c r="D38" s="158" t="s">
        <v>3</v>
      </c>
      <c r="E38" s="159">
        <v>45693</v>
      </c>
      <c r="F38" s="158">
        <v>18</v>
      </c>
      <c r="G38" s="158" t="s">
        <v>104</v>
      </c>
      <c r="H38" s="85">
        <v>4068</v>
      </c>
      <c r="I38" s="91">
        <v>0.74160000000000004</v>
      </c>
      <c r="J38" s="92">
        <v>0.74160000000000004</v>
      </c>
      <c r="K38" s="199">
        <f t="shared" ref="K38:K41" si="33">H38*I38</f>
        <v>3016.8288000000002</v>
      </c>
      <c r="L38" s="100">
        <f t="shared" ref="L38:L41" si="34">H38*(1-N38)</f>
        <v>4068</v>
      </c>
      <c r="M38" s="199">
        <f t="shared" ref="M38:M41" si="35">J38*H38*(1-N38)</f>
        <v>3016.8288000000002</v>
      </c>
      <c r="N38" s="230">
        <v>0</v>
      </c>
      <c r="P38" s="160">
        <v>0.56894999999999996</v>
      </c>
      <c r="Q38" s="160">
        <v>0.56894999999999996</v>
      </c>
      <c r="R38" s="85"/>
      <c r="S38" s="85"/>
      <c r="T38" s="85"/>
      <c r="U38" s="85"/>
    </row>
    <row r="39" spans="1:21" s="66" customFormat="1" x14ac:dyDescent="0.3">
      <c r="A39" s="158" t="s">
        <v>0</v>
      </c>
      <c r="B39" s="158" t="s">
        <v>1</v>
      </c>
      <c r="C39" s="158"/>
      <c r="D39" s="158" t="s">
        <v>3</v>
      </c>
      <c r="E39" s="159">
        <v>45693</v>
      </c>
      <c r="F39" s="158">
        <v>18</v>
      </c>
      <c r="G39" s="158" t="s">
        <v>104</v>
      </c>
      <c r="H39" s="85">
        <v>3720</v>
      </c>
      <c r="I39" s="91">
        <v>0.88919999999999999</v>
      </c>
      <c r="J39" s="92">
        <v>0.88919999999999999</v>
      </c>
      <c r="K39" s="199">
        <f t="shared" si="33"/>
        <v>3307.8240000000001</v>
      </c>
      <c r="L39" s="100">
        <f t="shared" si="34"/>
        <v>3720</v>
      </c>
      <c r="M39" s="199">
        <f t="shared" si="35"/>
        <v>3307.8240000000001</v>
      </c>
      <c r="N39" s="230">
        <v>0</v>
      </c>
      <c r="P39" s="160">
        <v>0.88214000000000004</v>
      </c>
      <c r="Q39" s="160">
        <v>0.88214000000000004</v>
      </c>
      <c r="R39" s="85"/>
      <c r="S39" s="85"/>
      <c r="T39" s="85"/>
      <c r="U39" s="85"/>
    </row>
    <row r="40" spans="1:21" s="66" customFormat="1" x14ac:dyDescent="0.3">
      <c r="A40" s="158" t="s">
        <v>0</v>
      </c>
      <c r="B40" s="158" t="s">
        <v>14</v>
      </c>
      <c r="C40" s="158"/>
      <c r="D40" s="158" t="s">
        <v>3</v>
      </c>
      <c r="E40" s="159">
        <v>45693</v>
      </c>
      <c r="F40" s="158">
        <v>18</v>
      </c>
      <c r="G40" s="158" t="s">
        <v>104</v>
      </c>
      <c r="H40" s="85">
        <v>4068</v>
      </c>
      <c r="I40" s="91">
        <v>0.9476</v>
      </c>
      <c r="J40" s="92">
        <v>0.93589999999999995</v>
      </c>
      <c r="K40" s="199">
        <f t="shared" si="33"/>
        <v>3854.8368</v>
      </c>
      <c r="L40" s="100">
        <f t="shared" si="34"/>
        <v>1574.316</v>
      </c>
      <c r="M40" s="199">
        <f t="shared" si="35"/>
        <v>1473.4023443999999</v>
      </c>
      <c r="N40" s="230">
        <v>0.61299999999999999</v>
      </c>
      <c r="P40" s="160">
        <v>0.85580000000000001</v>
      </c>
      <c r="Q40" s="160">
        <v>0.73363</v>
      </c>
      <c r="R40" s="85"/>
      <c r="S40" s="85"/>
      <c r="T40" s="85"/>
      <c r="U40" s="85"/>
    </row>
    <row r="41" spans="1:21" s="66" customFormat="1" x14ac:dyDescent="0.3">
      <c r="A41" s="158" t="s">
        <v>0</v>
      </c>
      <c r="B41" s="158" t="s">
        <v>14</v>
      </c>
      <c r="C41" s="158"/>
      <c r="D41" s="158" t="s">
        <v>3</v>
      </c>
      <c r="E41" s="159">
        <v>45693</v>
      </c>
      <c r="F41" s="158">
        <v>18</v>
      </c>
      <c r="G41" s="158" t="s">
        <v>104</v>
      </c>
      <c r="H41" s="85">
        <v>3714</v>
      </c>
      <c r="I41" s="91">
        <v>0.91549999999999998</v>
      </c>
      <c r="J41" s="92">
        <v>0.90710000000000002</v>
      </c>
      <c r="K41" s="199">
        <f t="shared" si="33"/>
        <v>3400.1669999999999</v>
      </c>
      <c r="L41" s="100">
        <f t="shared" si="34"/>
        <v>3305.46</v>
      </c>
      <c r="M41" s="199">
        <f t="shared" si="35"/>
        <v>2998.3827660000002</v>
      </c>
      <c r="N41" s="230">
        <v>0.11</v>
      </c>
      <c r="P41" s="160">
        <v>0.90602000000000005</v>
      </c>
      <c r="Q41" s="160">
        <v>0.89651999999999998</v>
      </c>
      <c r="R41" s="85"/>
      <c r="S41" s="85"/>
      <c r="T41" s="85"/>
      <c r="U41" s="85"/>
    </row>
    <row r="43" spans="1:21" x14ac:dyDescent="0.3">
      <c r="E43" s="55" t="s">
        <v>39</v>
      </c>
      <c r="F43" s="102"/>
      <c r="G43" s="191"/>
      <c r="H43" s="220">
        <f>SUM(H$2:H$42)</f>
        <v>233364</v>
      </c>
      <c r="I43" s="99">
        <f>K43/H43</f>
        <v>0.86264480125469201</v>
      </c>
      <c r="J43" s="117">
        <f>M43/L43</f>
        <v>0.87804975207616753</v>
      </c>
      <c r="K43" s="200">
        <f>SUM(K$2:K$42)</f>
        <v>201310.24139999994</v>
      </c>
      <c r="L43" s="98">
        <f>SUM(L$2:L$42)</f>
        <v>194961.89399999997</v>
      </c>
      <c r="M43" s="206">
        <f>SUM(M$2:M$42)</f>
        <v>171186.24269100002</v>
      </c>
      <c r="N43" s="7"/>
      <c r="O43" s="101"/>
      <c r="P43" s="70"/>
      <c r="Q43" s="101"/>
    </row>
    <row r="44" spans="1:21" x14ac:dyDescent="0.3">
      <c r="E44" s="193" t="s">
        <v>43</v>
      </c>
      <c r="F44" s="194"/>
      <c r="G44" s="195"/>
      <c r="H44" s="221">
        <f>SUMIF(B$2:B$42,"CLUSTER",H$2:H$42)</f>
        <v>115980</v>
      </c>
      <c r="I44" s="196">
        <f>K44/H44</f>
        <v>0.86194678737713404</v>
      </c>
      <c r="J44" s="197">
        <f>M44/L44</f>
        <v>0.86046856540321903</v>
      </c>
      <c r="K44" s="201">
        <f>SUMIF(B$2:B$42,"CLUSTER",K$2:K$42)</f>
        <v>99968.588400000008</v>
      </c>
      <c r="L44" s="192">
        <f>SUMIF(B$2:B$42,"CLUSTER",$L2:L$42)</f>
        <v>111921.37199999999</v>
      </c>
      <c r="M44" s="207">
        <f>SUMIF(B$2:B$42,"CLUSTER",M$2:M$42)</f>
        <v>96304.822402799997</v>
      </c>
    </row>
    <row r="45" spans="1:21" x14ac:dyDescent="0.3">
      <c r="E45" s="104" t="s">
        <v>41</v>
      </c>
      <c r="F45" s="105"/>
      <c r="G45" s="168"/>
      <c r="H45" s="222">
        <f>SUMIFS(H$2:H$42,B$2:B$42,"CLUSTER",C$2:C$42,IF(G45="", "", G45))</f>
        <v>29340</v>
      </c>
      <c r="I45" s="107">
        <f t="shared" ref="I45:I52" si="36">K45/H45</f>
        <v>0.81188361963190192</v>
      </c>
      <c r="J45" s="118">
        <f t="shared" ref="J45:J52" si="37">M45/L45</f>
        <v>0.81058147330906039</v>
      </c>
      <c r="K45" s="202">
        <f>SUMIFS(K$2:K$42,B$2:B$42,"CLUSTER",C$2:C$42,IF(G45="", "", G45))</f>
        <v>23820.665400000002</v>
      </c>
      <c r="L45" s="106">
        <f>SUMIFS(L$2:L$42,B$2:B$42,"CLUSTER",C$2:C$42,IF(G45="", "", G45))</f>
        <v>29138.652000000002</v>
      </c>
      <c r="M45" s="208">
        <f>SUMIFS(M$2:M$42,B$2:B$42,"CLUSTER",C$2:C$42,IF(G45="", "", G45))</f>
        <v>23619.251468400002</v>
      </c>
      <c r="O45" t="str">
        <f>IF(G45="", "", G45)</f>
        <v/>
      </c>
    </row>
    <row r="46" spans="1:21" x14ac:dyDescent="0.3">
      <c r="E46" s="43" t="s">
        <v>128</v>
      </c>
      <c r="G46" s="14" t="s">
        <v>127</v>
      </c>
      <c r="H46" s="126">
        <f>SUMIFS(H$2:H$42,B$2:B$42,"CLUSTER",C$2:C$42,IF(G46="", "", G46))</f>
        <v>28698</v>
      </c>
      <c r="I46" s="161">
        <f t="shared" si="36"/>
        <v>0.88518935814342459</v>
      </c>
      <c r="J46" s="162">
        <f t="shared" si="37"/>
        <v>0.88518935814342459</v>
      </c>
      <c r="K46" s="203">
        <f>SUMIFS(K$2:K$42,B$2:B$42,"CLUSTER",C$2:C$42,G46)</f>
        <v>25403.164199999999</v>
      </c>
      <c r="L46" s="90">
        <f>SUMIFS(L$2:L$42,B$2:B$42,"CLUSTER",C$2:C$42,IF(G46="", "", G46))</f>
        <v>28698</v>
      </c>
      <c r="M46" s="209">
        <f>SUMIFS(M$2:M$42,B$2:B$42,"CLUSTER",C$2:C$42,IF(G46="", "", G46))</f>
        <v>25403.164199999999</v>
      </c>
    </row>
    <row r="47" spans="1:21" x14ac:dyDescent="0.3">
      <c r="E47" s="43" t="s">
        <v>123</v>
      </c>
      <c r="G47" s="14" t="s">
        <v>122</v>
      </c>
      <c r="H47" s="126">
        <f>SUMIFS(H$2:H$42,B$2:B$42,"CLUSTER",C$2:C$42,IF(G47="", "", G47))</f>
        <v>29346</v>
      </c>
      <c r="I47" s="161">
        <f t="shared" si="36"/>
        <v>0.88323528930689021</v>
      </c>
      <c r="J47" s="162">
        <f t="shared" si="37"/>
        <v>0.88192201485565225</v>
      </c>
      <c r="K47" s="203">
        <f>SUMIFS(K$2:K$42,B$2:B$42,"CLUSTER",C$2:C$42,G47)</f>
        <v>25919.4228</v>
      </c>
      <c r="L47" s="90">
        <f>SUMIFS(L$2:L$42,B$2:B$42,"CLUSTER",C$2:C$42,IF(G47="", "", G47))</f>
        <v>25945.68</v>
      </c>
      <c r="M47" s="209">
        <f>SUMIFS(M$2:M$42,B$2:B$42,"CLUSTER",C$2:C$42,IF(G47="", "", G47))</f>
        <v>22882.0663824</v>
      </c>
    </row>
    <row r="48" spans="1:21" x14ac:dyDescent="0.3">
      <c r="E48" s="48" t="s">
        <v>134</v>
      </c>
      <c r="F48" s="49"/>
      <c r="G48" s="50" t="s">
        <v>135</v>
      </c>
      <c r="H48" s="223">
        <f>SUMIFS(H$2:H$42,B$2:B$42,"CLUSTER",C$2:C$42,IF(G48="", "", G48))</f>
        <v>28596</v>
      </c>
      <c r="I48" s="109">
        <f t="shared" ref="I48" si="38">K48/H48</f>
        <v>0.86814015946286205</v>
      </c>
      <c r="J48" s="119">
        <f t="shared" ref="J48" si="39">M48/L48</f>
        <v>0.86713478327618843</v>
      </c>
      <c r="K48" s="204">
        <f>SUMIFS(K$2:K$42,B$2:B$42,"CLUSTER",C$2:C$42,G48)</f>
        <v>24825.336000000003</v>
      </c>
      <c r="L48" s="108">
        <f>SUMIFS(L$2:L$42,B$2:B$42,"CLUSTER",C$2:C$42,IF(G48="", "", G48))</f>
        <v>28139.040000000001</v>
      </c>
      <c r="M48" s="210">
        <f>SUMIFS(M$2:M$42,B$2:B$42,"CLUSTER",C$2:C$42,IF(G48="", "", G48))</f>
        <v>24400.340351999999</v>
      </c>
    </row>
    <row r="49" spans="1:25" x14ac:dyDescent="0.3">
      <c r="E49" s="55" t="s">
        <v>44</v>
      </c>
      <c r="F49" s="56"/>
      <c r="G49" s="57"/>
      <c r="H49" s="224">
        <f>SUMIF(B$2:B$42,"NODE",H$2:H$42)</f>
        <v>117384</v>
      </c>
      <c r="I49" s="99">
        <f t="shared" si="36"/>
        <v>0.86333446636679634</v>
      </c>
      <c r="J49" s="117">
        <f t="shared" si="37"/>
        <v>0.90174553922240486</v>
      </c>
      <c r="K49" s="205">
        <f>SUMIF(B$2:B$42,"NODE",K$2:K$42)</f>
        <v>101341.65300000002</v>
      </c>
      <c r="L49" s="103">
        <f>SUMIF(B$2:B$42,"NODE",L$2:L$42)</f>
        <v>83040.522000000012</v>
      </c>
      <c r="M49" s="211">
        <f>SUMIF(B$2:B$42,"NODE",M$2:M$42)</f>
        <v>74881.420288199981</v>
      </c>
    </row>
    <row r="50" spans="1:25" x14ac:dyDescent="0.3">
      <c r="E50" s="104" t="s">
        <v>45</v>
      </c>
      <c r="F50" s="105"/>
      <c r="G50" s="168"/>
      <c r="H50" s="222">
        <f>SUMIFS(H$2:H$42,B$2:B$42,"NODE",C$2:C$42,IF(G50="", "", G50))</f>
        <v>29334</v>
      </c>
      <c r="I50" s="107">
        <f t="shared" si="36"/>
        <v>0.92519621599509116</v>
      </c>
      <c r="J50" s="118">
        <f t="shared" si="37"/>
        <v>0.90535164592367501</v>
      </c>
      <c r="K50" s="202">
        <f>SUMIFS(K$2:K$42,B$2:B$42,"NODE",C$2:C$42,IF(G50="", "", G50))</f>
        <v>27139.705800000003</v>
      </c>
      <c r="L50" s="106">
        <f>SUMIFS(L$2:L$42,B$2:B$42,"NODE",C$2:C$42,IF(G50="", "", G50))</f>
        <v>19851.041999999998</v>
      </c>
      <c r="M50" s="208">
        <f>SUMIFS(M$2:M$42,B$2:B$42,"NODE",C$2:C$42,IF(G50="", "", G50))</f>
        <v>17972.173547999999</v>
      </c>
    </row>
    <row r="51" spans="1:25" s="96" customFormat="1" x14ac:dyDescent="0.3">
      <c r="A51"/>
      <c r="B51"/>
      <c r="C51"/>
      <c r="D51"/>
      <c r="E51" s="43" t="s">
        <v>129</v>
      </c>
      <c r="F51"/>
      <c r="G51" s="14" t="s">
        <v>127</v>
      </c>
      <c r="H51" s="126">
        <f>SUMIFS(H$2:H$42,B$2:B$42,"NODE",C$2:C$42,IF(G51="", "", G51))</f>
        <v>29796</v>
      </c>
      <c r="I51" s="161">
        <f t="shared" si="36"/>
        <v>0.93928089005235604</v>
      </c>
      <c r="J51" s="162">
        <f t="shared" si="37"/>
        <v>0.91633635685551296</v>
      </c>
      <c r="K51" s="203">
        <f>SUMIFS(K$2:K$42,B$2:B$42,"NODE",C$2:C$42,IF(G51="", "", G51))</f>
        <v>27986.813399999999</v>
      </c>
      <c r="L51" s="90">
        <f>SUMIFS(L$2:L$42,B$2:B$42,"NODE",C$2:C$42,IF(G51="", "", G51))</f>
        <v>21332.802</v>
      </c>
      <c r="M51" s="209">
        <f>SUMIFS(M$2:M$42,B$2:B$42,"NODE",C$2:C$42,IF(G51="", "", G51))</f>
        <v>19548.022066199999</v>
      </c>
      <c r="O51"/>
      <c r="P51"/>
      <c r="Q51"/>
      <c r="R51"/>
      <c r="S51"/>
      <c r="T51"/>
      <c r="U51"/>
      <c r="V51"/>
      <c r="W51"/>
      <c r="X51"/>
      <c r="Y51"/>
    </row>
    <row r="52" spans="1:25" s="96" customFormat="1" x14ac:dyDescent="0.3">
      <c r="A52"/>
      <c r="B52"/>
      <c r="C52"/>
      <c r="D52"/>
      <c r="E52" s="43" t="s">
        <v>124</v>
      </c>
      <c r="F52"/>
      <c r="G52" s="14" t="s">
        <v>122</v>
      </c>
      <c r="H52" s="126">
        <f>SUMIFS(H$2:H$42,B$2:B$42,"NODE",C$2:C$42,IF(G52="", "", G52))</f>
        <v>30450</v>
      </c>
      <c r="I52" s="161">
        <f t="shared" si="36"/>
        <v>0.92374236453201974</v>
      </c>
      <c r="J52" s="162">
        <f t="shared" si="37"/>
        <v>0.89534642303631506</v>
      </c>
      <c r="K52" s="203">
        <f>SUMIFS(K$2:K$42,B$2:B$42,"NODE",C$2:C$42,IF(G52="", "", G52))</f>
        <v>28127.955000000002</v>
      </c>
      <c r="L52" s="90">
        <f>SUMIFS(L$2:L$42,B$2:B$42,"NODE",C$2:C$42,IF(G52="", "", G52))</f>
        <v>21958.511999999999</v>
      </c>
      <c r="M52" s="209">
        <f>SUMIFS(M$2:M$42,B$2:B$42,"NODE",C$2:C$42,IF(G52="", "", G52))</f>
        <v>19660.475174399999</v>
      </c>
      <c r="O52"/>
      <c r="P52"/>
      <c r="Q52"/>
      <c r="R52"/>
      <c r="S52"/>
      <c r="T52"/>
      <c r="U52"/>
      <c r="V52"/>
      <c r="W52"/>
      <c r="X52"/>
      <c r="Y52"/>
    </row>
    <row r="53" spans="1:25" x14ac:dyDescent="0.3">
      <c r="E53" s="48" t="s">
        <v>165</v>
      </c>
      <c r="F53" s="49"/>
      <c r="G53" s="50" t="s">
        <v>135</v>
      </c>
      <c r="H53" s="223">
        <f>SUMIFS(H$2:H$42,B$2:B$42,"NODE",C$2:C$42,IF(G53="", "", G53))</f>
        <v>27804</v>
      </c>
      <c r="I53" s="109">
        <f t="shared" ref="I53" si="40">K53/H53</f>
        <v>0.65052434182132057</v>
      </c>
      <c r="J53" s="119">
        <f t="shared" ref="J53" si="41">M53/L53</f>
        <v>0.88956688267652406</v>
      </c>
      <c r="K53" s="204">
        <f>SUMIFS(K$2:K$42,B$2:B$42,"NODE",C$2:C$42,IF(G53="", "", G53))</f>
        <v>18087.178799999998</v>
      </c>
      <c r="L53" s="108">
        <f>SUMIFS(L$2:L$42,B$2:B$42,"NODE",C$2:C$42,IF(G53="", "", G53))</f>
        <v>19898.165999999997</v>
      </c>
      <c r="M53" s="210">
        <f>SUMIFS(M$2:M$42,B$2:B$42,"NODE",C$2:C$42,IF(G53="", "", G53))</f>
        <v>17700.749499599999</v>
      </c>
    </row>
  </sheetData>
  <conditionalFormatting sqref="I45:I48">
    <cfRule type="colorScale" priority="14">
      <colorScale>
        <cfvo type="min"/>
        <cfvo type="max"/>
        <color rgb="FFFF7128"/>
        <color rgb="FF92D050"/>
      </colorScale>
    </cfRule>
  </conditionalFormatting>
  <conditionalFormatting sqref="I50:I53">
    <cfRule type="colorScale" priority="17">
      <colorScale>
        <cfvo type="min"/>
        <cfvo type="max"/>
        <color rgb="FFFF7128"/>
        <color rgb="FF92D050"/>
      </colorScale>
    </cfRule>
  </conditionalFormatting>
  <conditionalFormatting sqref="J45:J48">
    <cfRule type="colorScale" priority="16">
      <colorScale>
        <cfvo type="min"/>
        <cfvo type="max"/>
        <color rgb="FFFF7128"/>
        <color rgb="FF92D050"/>
      </colorScale>
    </cfRule>
  </conditionalFormatting>
  <conditionalFormatting sqref="J50:J53">
    <cfRule type="colorScale" priority="19">
      <colorScale>
        <cfvo type="min"/>
        <cfvo type="max"/>
        <color rgb="FFFF7128"/>
        <color rgb="FF92D050"/>
      </colorScale>
    </cfRule>
  </conditionalFormatting>
  <conditionalFormatting sqref="N43">
    <cfRule type="cellIs" dxfId="0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8379-F2BF-4C56-989F-96AD9F35A1F3}">
  <dimension ref="A1:W114"/>
  <sheetViews>
    <sheetView tabSelected="1" topLeftCell="E48" zoomScaleNormal="100" workbookViewId="0">
      <selection activeCell="Q68" sqref="Q68"/>
    </sheetView>
  </sheetViews>
  <sheetFormatPr defaultRowHeight="14.4" x14ac:dyDescent="0.3"/>
  <cols>
    <col min="1" max="1" width="13.21875" customWidth="1"/>
    <col min="2" max="2" width="14.5546875" customWidth="1"/>
    <col min="3" max="3" width="11.6640625" style="82" bestFit="1" customWidth="1"/>
    <col min="4" max="4" width="14.6640625" style="82" bestFit="1" customWidth="1"/>
    <col min="5" max="5" width="13.5546875" style="82" customWidth="1"/>
    <col min="6" max="6" width="14.5546875" style="82" bestFit="1" customWidth="1"/>
    <col min="7" max="7" width="15.44140625" style="82" bestFit="1" customWidth="1"/>
    <col min="8" max="8" width="11.109375" customWidth="1"/>
    <col min="9" max="9" width="24.109375" customWidth="1"/>
    <col min="10" max="10" width="11.77734375" customWidth="1"/>
    <col min="11" max="11" width="16.21875" customWidth="1"/>
    <col min="12" max="12" width="11.109375" bestFit="1" customWidth="1"/>
    <col min="13" max="13" width="9.44140625" customWidth="1"/>
    <col min="14" max="14" width="11.33203125" bestFit="1" customWidth="1"/>
    <col min="16" max="16" width="10.77734375" customWidth="1"/>
    <col min="17" max="17" width="10.5546875" style="90" customWidth="1"/>
    <col min="22" max="22" width="9.44140625" customWidth="1"/>
  </cols>
  <sheetData>
    <row r="1" spans="1:19" x14ac:dyDescent="0.3">
      <c r="C1" s="272" t="s">
        <v>130</v>
      </c>
      <c r="D1" s="273"/>
      <c r="E1" s="274"/>
      <c r="F1" s="272" t="s">
        <v>108</v>
      </c>
      <c r="G1" s="275"/>
      <c r="H1" s="276"/>
      <c r="J1" s="267" t="s">
        <v>131</v>
      </c>
      <c r="K1" s="268"/>
      <c r="L1" s="268"/>
      <c r="M1" s="268"/>
      <c r="N1" s="269"/>
      <c r="Q1"/>
      <c r="S1" s="90"/>
    </row>
    <row r="2" spans="1:19" ht="43.2" x14ac:dyDescent="0.3">
      <c r="A2" s="137" t="s">
        <v>182</v>
      </c>
      <c r="B2" s="252" t="s">
        <v>183</v>
      </c>
      <c r="C2" s="213" t="s">
        <v>132</v>
      </c>
      <c r="D2" s="138" t="s">
        <v>92</v>
      </c>
      <c r="E2" s="184" t="s">
        <v>107</v>
      </c>
      <c r="F2" s="157" t="s">
        <v>109</v>
      </c>
      <c r="G2" s="138" t="s">
        <v>92</v>
      </c>
      <c r="H2" s="139" t="s">
        <v>107</v>
      </c>
      <c r="J2" s="137" t="s">
        <v>182</v>
      </c>
      <c r="K2" s="140"/>
      <c r="L2" s="157" t="s">
        <v>132</v>
      </c>
      <c r="M2" s="138" t="s">
        <v>92</v>
      </c>
      <c r="N2" s="184" t="s">
        <v>188</v>
      </c>
      <c r="Q2"/>
      <c r="S2" s="90"/>
    </row>
    <row r="3" spans="1:19" x14ac:dyDescent="0.3">
      <c r="A3" s="255" t="s">
        <v>186</v>
      </c>
      <c r="B3" s="153" t="s">
        <v>39</v>
      </c>
      <c r="C3" s="145">
        <v>77094</v>
      </c>
      <c r="D3" s="185">
        <v>0.80256770176667402</v>
      </c>
      <c r="E3" s="185">
        <v>0.7584297294611555</v>
      </c>
      <c r="F3" s="145">
        <v>59020</v>
      </c>
      <c r="G3" s="185">
        <v>0.92849685530328718</v>
      </c>
      <c r="H3" s="147">
        <v>0.91241293948975033</v>
      </c>
      <c r="J3" s="257" t="s">
        <v>186</v>
      </c>
      <c r="K3" s="258" t="s">
        <v>39</v>
      </c>
      <c r="L3" s="259">
        <v>233364</v>
      </c>
      <c r="M3" s="260">
        <v>0.86264480125469201</v>
      </c>
      <c r="N3" s="260">
        <v>0.87804975207616753</v>
      </c>
      <c r="O3" s="93"/>
      <c r="P3" s="1"/>
      <c r="Q3" s="216"/>
      <c r="R3" s="149"/>
      <c r="S3" s="149"/>
    </row>
    <row r="4" spans="1:19" x14ac:dyDescent="0.3">
      <c r="A4" s="264" t="s">
        <v>1</v>
      </c>
      <c r="B4" s="153" t="s">
        <v>111</v>
      </c>
      <c r="C4" s="145">
        <v>25896</v>
      </c>
      <c r="D4" s="185">
        <v>0.75051241890639475</v>
      </c>
      <c r="E4" s="185">
        <v>0.74676295487577582</v>
      </c>
      <c r="F4" s="145">
        <v>17834</v>
      </c>
      <c r="G4" s="185">
        <v>0.88387458786587414</v>
      </c>
      <c r="H4" s="147">
        <v>0.88387458786587414</v>
      </c>
      <c r="J4" s="264" t="s">
        <v>1</v>
      </c>
      <c r="K4" s="153" t="s">
        <v>111</v>
      </c>
      <c r="L4" s="241">
        <v>115980</v>
      </c>
      <c r="M4" s="185">
        <v>0.86194678737713404</v>
      </c>
      <c r="N4" s="185">
        <v>0.86046856540321903</v>
      </c>
      <c r="O4" s="93"/>
      <c r="P4" s="1"/>
      <c r="Q4" s="216"/>
      <c r="R4" s="149"/>
      <c r="S4" s="149"/>
    </row>
    <row r="5" spans="1:19" x14ac:dyDescent="0.3">
      <c r="A5" s="265"/>
      <c r="B5" s="155" t="s">
        <v>185</v>
      </c>
      <c r="C5" s="151">
        <v>6942</v>
      </c>
      <c r="D5" s="183">
        <v>0.74748660328435601</v>
      </c>
      <c r="E5" s="183">
        <v>0.74016470044271321</v>
      </c>
      <c r="F5" s="151">
        <v>6474</v>
      </c>
      <c r="G5" s="183">
        <v>0.8643530120481927</v>
      </c>
      <c r="H5" s="128">
        <v>0.8643530120481927</v>
      </c>
      <c r="J5" s="265"/>
      <c r="K5" s="155" t="s">
        <v>185</v>
      </c>
      <c r="L5" s="242">
        <v>29340</v>
      </c>
      <c r="M5" s="183">
        <v>0.81188361963190192</v>
      </c>
      <c r="N5" s="183">
        <v>0.81058147330906039</v>
      </c>
      <c r="O5" s="93"/>
      <c r="Q5" s="126"/>
      <c r="R5" s="93"/>
      <c r="S5" s="93"/>
    </row>
    <row r="6" spans="1:19" x14ac:dyDescent="0.3">
      <c r="A6" s="265"/>
      <c r="B6" s="155" t="s">
        <v>2</v>
      </c>
      <c r="C6" s="151">
        <v>7470</v>
      </c>
      <c r="D6" s="183">
        <v>0.74591084337349389</v>
      </c>
      <c r="E6" s="183">
        <v>0.74591084337349389</v>
      </c>
      <c r="F6" s="151">
        <v>2196</v>
      </c>
      <c r="G6" s="183">
        <v>0.89029999999999998</v>
      </c>
      <c r="H6" s="128">
        <v>0.89029999999999998</v>
      </c>
      <c r="J6" s="265"/>
      <c r="K6" s="155" t="s">
        <v>127</v>
      </c>
      <c r="L6" s="242">
        <v>28698</v>
      </c>
      <c r="M6" s="183">
        <v>0.88518935814342459</v>
      </c>
      <c r="N6" s="183">
        <v>0.88518935814342459</v>
      </c>
      <c r="O6" s="93"/>
      <c r="Q6" s="126"/>
      <c r="R6" s="93"/>
      <c r="S6" s="93"/>
    </row>
    <row r="7" spans="1:19" x14ac:dyDescent="0.3">
      <c r="A7" s="265"/>
      <c r="B7" s="155" t="s">
        <v>15</v>
      </c>
      <c r="C7" s="151">
        <v>3726</v>
      </c>
      <c r="D7" s="183">
        <v>0.75419999999999998</v>
      </c>
      <c r="E7" s="183">
        <v>0.75419999999999998</v>
      </c>
      <c r="F7" s="151">
        <v>2216</v>
      </c>
      <c r="G7" s="183">
        <v>0.90029999999999999</v>
      </c>
      <c r="H7" s="128">
        <v>0.90029999999999999</v>
      </c>
      <c r="J7" s="265"/>
      <c r="K7" s="155" t="s">
        <v>122</v>
      </c>
      <c r="L7" s="242">
        <v>29346</v>
      </c>
      <c r="M7" s="183">
        <v>0.88323528930689021</v>
      </c>
      <c r="N7" s="183">
        <v>0.88192201485565225</v>
      </c>
      <c r="O7" s="93"/>
      <c r="Q7" s="126"/>
      <c r="R7" s="93"/>
      <c r="S7" s="93"/>
    </row>
    <row r="8" spans="1:19" x14ac:dyDescent="0.3">
      <c r="A8" s="265"/>
      <c r="B8" s="155" t="s">
        <v>135</v>
      </c>
      <c r="C8" s="151">
        <v>3840</v>
      </c>
      <c r="D8" s="183">
        <v>0.75290000000000001</v>
      </c>
      <c r="E8" s="183">
        <v>0.75290000000000001</v>
      </c>
      <c r="F8" s="151">
        <v>3864</v>
      </c>
      <c r="G8" s="183">
        <v>0.89080000000000004</v>
      </c>
      <c r="H8" s="128">
        <v>0.89080000000000004</v>
      </c>
      <c r="J8" s="266"/>
      <c r="K8" s="156" t="s">
        <v>135</v>
      </c>
      <c r="L8" s="243">
        <v>28596</v>
      </c>
      <c r="M8" s="180">
        <v>0.86814015946286205</v>
      </c>
      <c r="N8" s="180">
        <v>0.86713478327618843</v>
      </c>
      <c r="O8" s="93"/>
      <c r="Q8" s="126"/>
      <c r="R8" s="93"/>
      <c r="S8" s="93"/>
    </row>
    <row r="9" spans="1:19" x14ac:dyDescent="0.3">
      <c r="A9" s="266"/>
      <c r="B9" s="156" t="s">
        <v>122</v>
      </c>
      <c r="C9" s="152">
        <v>3918</v>
      </c>
      <c r="D9" s="180">
        <v>0.75880000000000003</v>
      </c>
      <c r="E9" s="180">
        <v>0.74660000000000004</v>
      </c>
      <c r="F9" s="152">
        <v>3084</v>
      </c>
      <c r="G9" s="180">
        <v>0.89980000000000004</v>
      </c>
      <c r="H9" s="136">
        <v>0.89980000000000004</v>
      </c>
      <c r="J9" s="264" t="s">
        <v>14</v>
      </c>
      <c r="K9" s="153" t="s">
        <v>44</v>
      </c>
      <c r="L9" s="241">
        <v>117384</v>
      </c>
      <c r="M9" s="185">
        <v>0.86333446636679634</v>
      </c>
      <c r="N9" s="185">
        <v>0.90174553922240486</v>
      </c>
      <c r="O9" s="93"/>
      <c r="P9" s="1"/>
      <c r="Q9" s="216"/>
      <c r="R9" s="149"/>
      <c r="S9" s="149"/>
    </row>
    <row r="10" spans="1:19" x14ac:dyDescent="0.3">
      <c r="A10" s="264" t="s">
        <v>14</v>
      </c>
      <c r="B10" s="154" t="s">
        <v>112</v>
      </c>
      <c r="C10" s="148">
        <v>47580</v>
      </c>
      <c r="D10" s="186">
        <v>0.8353681462799496</v>
      </c>
      <c r="E10" s="186">
        <v>0.76918283782290586</v>
      </c>
      <c r="F10" s="148">
        <v>41186</v>
      </c>
      <c r="G10" s="186">
        <v>0.94781879764968668</v>
      </c>
      <c r="H10" s="150">
        <v>0.92922101607971552</v>
      </c>
      <c r="J10" s="265"/>
      <c r="K10" s="155" t="s">
        <v>185</v>
      </c>
      <c r="L10" s="242">
        <v>29334</v>
      </c>
      <c r="M10" s="183">
        <v>0.92519621599509116</v>
      </c>
      <c r="N10" s="183">
        <v>0.90535164592367501</v>
      </c>
      <c r="O10" s="93"/>
      <c r="Q10" s="126"/>
      <c r="R10" s="93"/>
      <c r="S10" s="93"/>
    </row>
    <row r="11" spans="1:19" x14ac:dyDescent="0.3">
      <c r="A11" s="265"/>
      <c r="B11" s="154" t="s">
        <v>185</v>
      </c>
      <c r="C11" s="148">
        <v>6840</v>
      </c>
      <c r="D11" s="186">
        <v>0.83318736842105257</v>
      </c>
      <c r="E11" s="186">
        <v>0.77290316270798931</v>
      </c>
      <c r="F11" s="148">
        <v>14322</v>
      </c>
      <c r="G11" s="186">
        <v>0.95482496857980736</v>
      </c>
      <c r="H11" s="150">
        <v>0.9381546916797423</v>
      </c>
      <c r="J11" s="265"/>
      <c r="K11" s="155" t="s">
        <v>127</v>
      </c>
      <c r="L11" s="242">
        <v>29796</v>
      </c>
      <c r="M11" s="183">
        <v>0.93928089005235604</v>
      </c>
      <c r="N11" s="183">
        <v>0.91633635685551296</v>
      </c>
      <c r="O11" s="93"/>
      <c r="Q11" s="126"/>
      <c r="R11" s="93"/>
      <c r="S11" s="93"/>
    </row>
    <row r="12" spans="1:19" x14ac:dyDescent="0.3">
      <c r="A12" s="265"/>
      <c r="B12" s="155" t="s">
        <v>2</v>
      </c>
      <c r="C12" s="151">
        <v>21678</v>
      </c>
      <c r="D12" s="183">
        <v>0.85506282867423189</v>
      </c>
      <c r="E12" s="183">
        <v>0.80054047410741125</v>
      </c>
      <c r="F12" s="151">
        <v>4362</v>
      </c>
      <c r="G12" s="183">
        <v>0.94248528198074266</v>
      </c>
      <c r="H12" s="128">
        <v>0.92313749999999994</v>
      </c>
      <c r="J12" s="265"/>
      <c r="K12" s="155" t="s">
        <v>122</v>
      </c>
      <c r="L12" s="242">
        <v>30450</v>
      </c>
      <c r="M12" s="183">
        <v>0.92374236453201974</v>
      </c>
      <c r="N12" s="183">
        <v>0.89534642303631506</v>
      </c>
      <c r="O12" s="93"/>
      <c r="R12" s="93"/>
      <c r="S12" s="93"/>
    </row>
    <row r="13" spans="1:19" x14ac:dyDescent="0.3">
      <c r="A13" s="265"/>
      <c r="B13" s="155" t="s">
        <v>15</v>
      </c>
      <c r="C13" s="151">
        <v>3726</v>
      </c>
      <c r="D13" s="183">
        <v>0.88780000000000003</v>
      </c>
      <c r="E13" s="183">
        <v>0.77559999999999985</v>
      </c>
      <c r="F13" s="151">
        <v>4380</v>
      </c>
      <c r="G13" s="183">
        <v>0.93104712328767114</v>
      </c>
      <c r="H13" s="128">
        <v>0.90755629017447192</v>
      </c>
      <c r="J13" s="266"/>
      <c r="K13" s="156" t="s">
        <v>135</v>
      </c>
      <c r="L13" s="243">
        <v>27804</v>
      </c>
      <c r="M13" s="180">
        <v>0.65052434182132057</v>
      </c>
      <c r="N13" s="180">
        <v>0.88956688267652406</v>
      </c>
      <c r="O13" s="93"/>
      <c r="R13" s="93"/>
      <c r="S13" s="93"/>
    </row>
    <row r="14" spans="1:19" x14ac:dyDescent="0.3">
      <c r="A14" s="265"/>
      <c r="B14" s="155" t="s">
        <v>135</v>
      </c>
      <c r="C14" s="151">
        <v>7572</v>
      </c>
      <c r="D14" s="183">
        <v>0.78181664025356579</v>
      </c>
      <c r="E14" s="183">
        <v>0.71132021215371932</v>
      </c>
      <c r="F14" s="151">
        <v>12038</v>
      </c>
      <c r="G14" s="183">
        <v>0.9434862767901645</v>
      </c>
      <c r="H14" s="128">
        <v>0.92416530533734009</v>
      </c>
      <c r="L14" s="126"/>
      <c r="M14" s="93"/>
      <c r="N14" s="93"/>
      <c r="Q14"/>
      <c r="R14" s="90"/>
    </row>
    <row r="15" spans="1:19" x14ac:dyDescent="0.3">
      <c r="A15" s="266"/>
      <c r="B15" s="156" t="s">
        <v>122</v>
      </c>
      <c r="C15" s="152">
        <v>7764</v>
      </c>
      <c r="D15" s="180">
        <v>0.80936429675425037</v>
      </c>
      <c r="E15" s="180">
        <v>0.72634248939508395</v>
      </c>
      <c r="F15" s="152">
        <v>6084</v>
      </c>
      <c r="G15" s="180">
        <v>0.95579664694280086</v>
      </c>
      <c r="H15" s="136">
        <v>0.93905347079037793</v>
      </c>
      <c r="L15" s="126"/>
      <c r="M15" s="93"/>
      <c r="Q15"/>
      <c r="R15" s="90"/>
    </row>
    <row r="19" spans="1:18" x14ac:dyDescent="0.3">
      <c r="B19" s="93"/>
      <c r="C19" s="93"/>
      <c r="D19" s="93"/>
      <c r="E19" s="93"/>
      <c r="F19"/>
      <c r="G19"/>
    </row>
    <row r="20" spans="1:18" x14ac:dyDescent="0.3">
      <c r="B20" s="93"/>
      <c r="C20" s="93"/>
      <c r="D20" s="93"/>
      <c r="E20" s="93"/>
      <c r="F20"/>
      <c r="G20"/>
    </row>
    <row r="22" spans="1:18" x14ac:dyDescent="0.3">
      <c r="A22" s="267" t="s">
        <v>130</v>
      </c>
      <c r="B22" s="268"/>
      <c r="C22" s="268"/>
      <c r="D22" s="268"/>
      <c r="E22" s="269"/>
    </row>
    <row r="23" spans="1:18" ht="28.8" x14ac:dyDescent="0.3">
      <c r="A23" s="137" t="s">
        <v>182</v>
      </c>
      <c r="B23" s="252" t="s">
        <v>183</v>
      </c>
      <c r="C23" s="138" t="s">
        <v>116</v>
      </c>
      <c r="D23" s="143" t="s">
        <v>114</v>
      </c>
      <c r="E23" s="139" t="s">
        <v>117</v>
      </c>
      <c r="F23" s="143" t="s">
        <v>115</v>
      </c>
      <c r="H23" s="82"/>
      <c r="Q23"/>
      <c r="R23" s="90"/>
    </row>
    <row r="24" spans="1:18" x14ac:dyDescent="0.3">
      <c r="A24" s="264" t="s">
        <v>1</v>
      </c>
      <c r="B24" s="187" t="s">
        <v>120</v>
      </c>
      <c r="C24" s="179">
        <f>D5</f>
        <v>0.74748660328435601</v>
      </c>
      <c r="D24" s="179">
        <f t="shared" ref="D24:D28" si="0">D$4</f>
        <v>0.75051241890639475</v>
      </c>
      <c r="E24" s="181"/>
      <c r="F24" s="253"/>
      <c r="G24"/>
      <c r="Q24"/>
      <c r="R24" s="90"/>
    </row>
    <row r="25" spans="1:18" x14ac:dyDescent="0.3">
      <c r="A25" s="265"/>
      <c r="B25" s="155" t="s">
        <v>2</v>
      </c>
      <c r="C25" s="183">
        <f>D6</f>
        <v>0.74591084337349389</v>
      </c>
      <c r="D25" s="183">
        <f t="shared" si="0"/>
        <v>0.75051241890639475</v>
      </c>
      <c r="E25" s="182"/>
      <c r="F25" s="127"/>
      <c r="G25"/>
      <c r="Q25"/>
      <c r="R25" s="90"/>
    </row>
    <row r="26" spans="1:18" x14ac:dyDescent="0.3">
      <c r="A26" s="265"/>
      <c r="B26" s="155" t="s">
        <v>15</v>
      </c>
      <c r="C26" s="183">
        <f>D7</f>
        <v>0.75419999999999998</v>
      </c>
      <c r="D26" s="183">
        <f t="shared" si="0"/>
        <v>0.75051241890639475</v>
      </c>
      <c r="E26" s="182"/>
      <c r="F26" s="127"/>
      <c r="G26"/>
      <c r="Q26"/>
      <c r="R26" s="90"/>
    </row>
    <row r="27" spans="1:18" x14ac:dyDescent="0.3">
      <c r="A27" s="265"/>
      <c r="B27" s="155" t="s">
        <v>135</v>
      </c>
      <c r="C27" s="183">
        <f>D8</f>
        <v>0.75290000000000001</v>
      </c>
      <c r="D27" s="183">
        <f t="shared" si="0"/>
        <v>0.75051241890639475</v>
      </c>
      <c r="E27" s="182"/>
      <c r="F27" s="127"/>
      <c r="G27"/>
      <c r="Q27"/>
      <c r="R27" s="90"/>
    </row>
    <row r="28" spans="1:18" x14ac:dyDescent="0.3">
      <c r="A28" s="266"/>
      <c r="B28" s="156" t="s">
        <v>122</v>
      </c>
      <c r="C28" s="180">
        <f>D9</f>
        <v>0.75880000000000003</v>
      </c>
      <c r="D28" s="180">
        <f t="shared" si="0"/>
        <v>0.75051241890639475</v>
      </c>
      <c r="E28" s="245"/>
      <c r="F28" s="254"/>
      <c r="G28"/>
      <c r="Q28"/>
      <c r="R28" s="90"/>
    </row>
    <row r="29" spans="1:18" x14ac:dyDescent="0.3">
      <c r="A29" s="264" t="s">
        <v>14</v>
      </c>
      <c r="B29" s="187" t="s">
        <v>185</v>
      </c>
      <c r="C29" s="179">
        <f t="shared" ref="C29:C31" si="1">D11</f>
        <v>0.83318736842105257</v>
      </c>
      <c r="D29" s="179">
        <f t="shared" ref="D29:D33" si="2">D$10</f>
        <v>0.8353681462799496</v>
      </c>
      <c r="E29" s="179">
        <f t="shared" ref="E29:E31" si="3">E11</f>
        <v>0.77290316270798931</v>
      </c>
      <c r="F29" s="244">
        <f t="shared" ref="F29:F33" si="4">E$10</f>
        <v>0.76918283782290586</v>
      </c>
      <c r="G29"/>
      <c r="Q29"/>
      <c r="R29" s="90"/>
    </row>
    <row r="30" spans="1:18" x14ac:dyDescent="0.3">
      <c r="A30" s="265"/>
      <c r="B30" s="155" t="s">
        <v>2</v>
      </c>
      <c r="C30" s="183">
        <f t="shared" si="1"/>
        <v>0.85506282867423189</v>
      </c>
      <c r="D30" s="183">
        <f t="shared" si="2"/>
        <v>0.8353681462799496</v>
      </c>
      <c r="E30" s="183">
        <f t="shared" si="3"/>
        <v>0.80054047410741125</v>
      </c>
      <c r="F30" s="128">
        <f t="shared" si="4"/>
        <v>0.76918283782290586</v>
      </c>
      <c r="G30"/>
      <c r="Q30"/>
      <c r="R30" s="90"/>
    </row>
    <row r="31" spans="1:18" x14ac:dyDescent="0.3">
      <c r="A31" s="265"/>
      <c r="B31" s="155" t="s">
        <v>15</v>
      </c>
      <c r="C31" s="183">
        <f t="shared" si="1"/>
        <v>0.88780000000000003</v>
      </c>
      <c r="D31" s="183">
        <f t="shared" si="2"/>
        <v>0.8353681462799496</v>
      </c>
      <c r="E31" s="183">
        <f t="shared" si="3"/>
        <v>0.77559999999999985</v>
      </c>
      <c r="F31" s="128">
        <f t="shared" si="4"/>
        <v>0.76918283782290586</v>
      </c>
      <c r="G31"/>
      <c r="Q31"/>
      <c r="R31" s="90"/>
    </row>
    <row r="32" spans="1:18" x14ac:dyDescent="0.3">
      <c r="A32" s="265"/>
      <c r="B32" s="155" t="s">
        <v>135</v>
      </c>
      <c r="C32" s="183">
        <f>D14</f>
        <v>0.78181664025356579</v>
      </c>
      <c r="D32" s="183">
        <f t="shared" si="2"/>
        <v>0.8353681462799496</v>
      </c>
      <c r="E32" s="183">
        <f>E14</f>
        <v>0.71132021215371932</v>
      </c>
      <c r="F32" s="128">
        <f t="shared" si="4"/>
        <v>0.76918283782290586</v>
      </c>
      <c r="H32" s="82"/>
      <c r="Q32"/>
      <c r="R32" s="90"/>
    </row>
    <row r="33" spans="1:23" x14ac:dyDescent="0.3">
      <c r="A33" s="266"/>
      <c r="B33" s="156" t="s">
        <v>122</v>
      </c>
      <c r="C33" s="180">
        <f>D15</f>
        <v>0.80936429675425037</v>
      </c>
      <c r="D33" s="180">
        <f t="shared" si="2"/>
        <v>0.8353681462799496</v>
      </c>
      <c r="E33" s="180">
        <f>E15</f>
        <v>0.72634248939508395</v>
      </c>
      <c r="F33" s="136">
        <f t="shared" si="4"/>
        <v>0.76918283782290586</v>
      </c>
      <c r="H33" s="82"/>
      <c r="Q33"/>
      <c r="R33" s="90"/>
    </row>
    <row r="34" spans="1:23" x14ac:dyDescent="0.3">
      <c r="B34" s="93"/>
      <c r="C34" s="93"/>
      <c r="D34" s="93"/>
      <c r="E34" s="93"/>
    </row>
    <row r="35" spans="1:23" x14ac:dyDescent="0.3">
      <c r="B35" s="93"/>
      <c r="C35" s="93"/>
      <c r="D35" s="93"/>
      <c r="E35" s="93"/>
    </row>
    <row r="36" spans="1:23" x14ac:dyDescent="0.3">
      <c r="A36" s="135"/>
      <c r="B36" s="135"/>
      <c r="C36" s="135"/>
      <c r="P36" t="s">
        <v>190</v>
      </c>
    </row>
    <row r="37" spans="1:23" x14ac:dyDescent="0.3">
      <c r="A37" s="267" t="s">
        <v>108</v>
      </c>
      <c r="B37" s="268"/>
      <c r="C37" s="268"/>
      <c r="D37" s="268"/>
      <c r="E37" s="268"/>
      <c r="F37" s="269"/>
      <c r="U37" s="81"/>
      <c r="V37" s="81"/>
    </row>
    <row r="38" spans="1:23" ht="28.8" x14ac:dyDescent="0.3">
      <c r="A38" s="137" t="s">
        <v>182</v>
      </c>
      <c r="B38" s="252" t="s">
        <v>183</v>
      </c>
      <c r="C38" s="138" t="s">
        <v>116</v>
      </c>
      <c r="D38" s="137" t="s">
        <v>114</v>
      </c>
      <c r="E38" s="139" t="s">
        <v>117</v>
      </c>
      <c r="F38" s="137" t="s">
        <v>115</v>
      </c>
      <c r="H38" s="82"/>
      <c r="Q38"/>
      <c r="R38" s="90"/>
      <c r="V38" s="81"/>
      <c r="W38" s="81"/>
    </row>
    <row r="39" spans="1:23" x14ac:dyDescent="0.3">
      <c r="A39" s="264" t="s">
        <v>1</v>
      </c>
      <c r="B39" s="187" t="s">
        <v>120</v>
      </c>
      <c r="C39" s="179">
        <f>G5</f>
        <v>0.8643530120481927</v>
      </c>
      <c r="D39" s="246">
        <f t="shared" ref="D39:D43" si="5">G$4</f>
        <v>0.88387458786587414</v>
      </c>
      <c r="E39" s="181"/>
      <c r="F39" s="181"/>
      <c r="H39" s="82"/>
      <c r="Q39"/>
      <c r="R39" s="90"/>
      <c r="V39" s="82"/>
      <c r="W39" s="82"/>
    </row>
    <row r="40" spans="1:23" x14ac:dyDescent="0.3">
      <c r="A40" s="265"/>
      <c r="B40" s="155" t="s">
        <v>2</v>
      </c>
      <c r="C40" s="183">
        <f>G6</f>
        <v>0.89029999999999998</v>
      </c>
      <c r="D40" s="93">
        <f t="shared" si="5"/>
        <v>0.88387458786587414</v>
      </c>
      <c r="E40" s="182"/>
      <c r="F40" s="182"/>
      <c r="H40" s="82"/>
      <c r="Q40"/>
      <c r="R40" s="90"/>
      <c r="V40" s="82"/>
      <c r="W40" s="82"/>
    </row>
    <row r="41" spans="1:23" x14ac:dyDescent="0.3">
      <c r="A41" s="265"/>
      <c r="B41" s="155" t="s">
        <v>15</v>
      </c>
      <c r="C41" s="183">
        <f>G7</f>
        <v>0.90029999999999999</v>
      </c>
      <c r="D41" s="93">
        <f t="shared" si="5"/>
        <v>0.88387458786587414</v>
      </c>
      <c r="E41" s="182"/>
      <c r="F41" s="182"/>
      <c r="H41" s="82"/>
      <c r="Q41"/>
      <c r="R41" s="90"/>
      <c r="V41" s="82"/>
      <c r="W41" s="82"/>
    </row>
    <row r="42" spans="1:23" x14ac:dyDescent="0.3">
      <c r="A42" s="265"/>
      <c r="B42" s="155" t="s">
        <v>135</v>
      </c>
      <c r="C42" s="183">
        <f>G8</f>
        <v>0.89080000000000004</v>
      </c>
      <c r="D42" s="93">
        <f t="shared" si="5"/>
        <v>0.88387458786587414</v>
      </c>
      <c r="E42" s="182"/>
      <c r="F42" s="182"/>
      <c r="H42" s="82"/>
      <c r="Q42"/>
      <c r="R42" s="90"/>
    </row>
    <row r="43" spans="1:23" x14ac:dyDescent="0.3">
      <c r="A43" s="266"/>
      <c r="B43" s="156" t="s">
        <v>122</v>
      </c>
      <c r="C43" s="180">
        <f>G9</f>
        <v>0.89980000000000004</v>
      </c>
      <c r="D43" s="129">
        <f t="shared" si="5"/>
        <v>0.88387458786587414</v>
      </c>
      <c r="E43" s="245"/>
      <c r="F43" s="245"/>
      <c r="H43" s="82"/>
      <c r="Q43"/>
      <c r="R43" s="90"/>
    </row>
    <row r="44" spans="1:23" x14ac:dyDescent="0.3">
      <c r="A44" s="264" t="s">
        <v>14</v>
      </c>
      <c r="B44" s="155" t="s">
        <v>184</v>
      </c>
      <c r="C44" s="183">
        <f t="shared" ref="C44:C48" si="6">G11</f>
        <v>0.95482496857980736</v>
      </c>
      <c r="D44" s="93">
        <f t="shared" ref="D44:D48" si="7">G$10</f>
        <v>0.94781879764968668</v>
      </c>
      <c r="E44" s="183">
        <f t="shared" ref="E44:E48" si="8">H11</f>
        <v>0.9381546916797423</v>
      </c>
      <c r="F44" s="183">
        <f t="shared" ref="F44:F48" si="9">H$10</f>
        <v>0.92922101607971552</v>
      </c>
      <c r="H44" s="82"/>
      <c r="Q44"/>
      <c r="R44" s="90"/>
    </row>
    <row r="45" spans="1:23" x14ac:dyDescent="0.3">
      <c r="A45" s="265"/>
      <c r="B45" s="155" t="s">
        <v>2</v>
      </c>
      <c r="C45" s="183">
        <f t="shared" si="6"/>
        <v>0.94248528198074266</v>
      </c>
      <c r="D45" s="93">
        <f t="shared" si="7"/>
        <v>0.94781879764968668</v>
      </c>
      <c r="E45" s="183">
        <f t="shared" si="8"/>
        <v>0.92313749999999994</v>
      </c>
      <c r="F45" s="183">
        <f t="shared" si="9"/>
        <v>0.92922101607971552</v>
      </c>
      <c r="H45" s="82"/>
      <c r="Q45"/>
      <c r="R45" s="90"/>
    </row>
    <row r="46" spans="1:23" x14ac:dyDescent="0.3">
      <c r="A46" s="265"/>
      <c r="B46" s="155" t="s">
        <v>15</v>
      </c>
      <c r="C46" s="183">
        <f t="shared" si="6"/>
        <v>0.93104712328767114</v>
      </c>
      <c r="D46" s="93">
        <f t="shared" si="7"/>
        <v>0.94781879764968668</v>
      </c>
      <c r="E46" s="183">
        <f t="shared" si="8"/>
        <v>0.90755629017447192</v>
      </c>
      <c r="F46" s="183">
        <f t="shared" si="9"/>
        <v>0.92922101607971552</v>
      </c>
      <c r="H46" s="82"/>
      <c r="Q46"/>
      <c r="R46" s="90"/>
    </row>
    <row r="47" spans="1:23" x14ac:dyDescent="0.3">
      <c r="A47" s="265"/>
      <c r="B47" s="155" t="s">
        <v>135</v>
      </c>
      <c r="C47" s="183">
        <f t="shared" si="6"/>
        <v>0.9434862767901645</v>
      </c>
      <c r="D47" s="93">
        <f t="shared" si="7"/>
        <v>0.94781879764968668</v>
      </c>
      <c r="E47" s="183">
        <f t="shared" si="8"/>
        <v>0.92416530533734009</v>
      </c>
      <c r="F47" s="183">
        <f t="shared" si="9"/>
        <v>0.92922101607971552</v>
      </c>
      <c r="H47" s="82"/>
      <c r="Q47"/>
      <c r="R47" s="90"/>
    </row>
    <row r="48" spans="1:23" x14ac:dyDescent="0.3">
      <c r="A48" s="266"/>
      <c r="B48" s="156" t="s">
        <v>122</v>
      </c>
      <c r="C48" s="180">
        <f t="shared" si="6"/>
        <v>0.95579664694280086</v>
      </c>
      <c r="D48" s="129">
        <f t="shared" si="7"/>
        <v>0.94781879764968668</v>
      </c>
      <c r="E48" s="180">
        <f t="shared" si="8"/>
        <v>0.93905347079037793</v>
      </c>
      <c r="F48" s="180">
        <f t="shared" si="9"/>
        <v>0.92922101607971552</v>
      </c>
      <c r="H48" s="82"/>
      <c r="Q48"/>
      <c r="R48" s="90"/>
    </row>
    <row r="50" spans="1:16" ht="13.8" customHeight="1" x14ac:dyDescent="0.3"/>
    <row r="51" spans="1:16" ht="13.8" customHeight="1" x14ac:dyDescent="0.3"/>
    <row r="52" spans="1:16" x14ac:dyDescent="0.3">
      <c r="B52" s="261" t="s">
        <v>193</v>
      </c>
      <c r="C52" s="262"/>
      <c r="D52" s="262"/>
      <c r="E52" s="262"/>
      <c r="F52" s="262"/>
      <c r="G52" s="263"/>
    </row>
    <row r="53" spans="1:16" x14ac:dyDescent="0.3">
      <c r="A53" s="137" t="s">
        <v>182</v>
      </c>
      <c r="B53" s="188" t="s">
        <v>194</v>
      </c>
      <c r="C53" s="188" t="s">
        <v>120</v>
      </c>
      <c r="D53" s="189" t="s">
        <v>2</v>
      </c>
      <c r="E53" s="189" t="s">
        <v>15</v>
      </c>
      <c r="F53" s="189" t="s">
        <v>135</v>
      </c>
      <c r="G53" s="189" t="s">
        <v>126</v>
      </c>
      <c r="H53" s="82"/>
    </row>
    <row r="54" spans="1:16" x14ac:dyDescent="0.3">
      <c r="A54" s="264" t="s">
        <v>1</v>
      </c>
      <c r="B54" s="187" t="s">
        <v>125</v>
      </c>
      <c r="C54" s="179">
        <f>D5</f>
        <v>0.74748660328435601</v>
      </c>
      <c r="D54" s="179">
        <f>D6</f>
        <v>0.74591084337349389</v>
      </c>
      <c r="E54" s="179">
        <f>D7</f>
        <v>0.75419999999999998</v>
      </c>
      <c r="F54" s="179">
        <f>D8</f>
        <v>0.75290000000000001</v>
      </c>
      <c r="G54" s="244">
        <f>D9</f>
        <v>0.75880000000000003</v>
      </c>
      <c r="H54" s="93"/>
    </row>
    <row r="55" spans="1:16" x14ac:dyDescent="0.3">
      <c r="A55" s="265"/>
      <c r="B55" s="155" t="s">
        <v>108</v>
      </c>
      <c r="C55" s="183">
        <f>G5</f>
        <v>0.8643530120481927</v>
      </c>
      <c r="D55" s="183">
        <f>G6</f>
        <v>0.89029999999999998</v>
      </c>
      <c r="E55" s="183">
        <f>G7</f>
        <v>0.90029999999999999</v>
      </c>
      <c r="F55" s="183">
        <f>G8</f>
        <v>0.89080000000000004</v>
      </c>
      <c r="G55" s="128">
        <f>G9</f>
        <v>0.89980000000000004</v>
      </c>
      <c r="H55" s="93"/>
    </row>
    <row r="56" spans="1:16" x14ac:dyDescent="0.3">
      <c r="A56" s="265"/>
      <c r="B56" s="155" t="s">
        <v>175</v>
      </c>
      <c r="C56" s="183">
        <f t="shared" ref="C56:G56" si="10">$D$4</f>
        <v>0.75051241890639475</v>
      </c>
      <c r="D56" s="183">
        <f t="shared" si="10"/>
        <v>0.75051241890639475</v>
      </c>
      <c r="E56" s="183">
        <f t="shared" si="10"/>
        <v>0.75051241890639475</v>
      </c>
      <c r="F56" s="183">
        <f t="shared" si="10"/>
        <v>0.75051241890639475</v>
      </c>
      <c r="G56" s="128">
        <f t="shared" si="10"/>
        <v>0.75051241890639475</v>
      </c>
    </row>
    <row r="57" spans="1:16" x14ac:dyDescent="0.3">
      <c r="A57" s="266"/>
      <c r="B57" s="156" t="s">
        <v>174</v>
      </c>
      <c r="C57" s="180">
        <f t="shared" ref="C57:G57" si="11">$G$4</f>
        <v>0.88387458786587414</v>
      </c>
      <c r="D57" s="180">
        <f t="shared" si="11"/>
        <v>0.88387458786587414</v>
      </c>
      <c r="E57" s="180">
        <f t="shared" si="11"/>
        <v>0.88387458786587414</v>
      </c>
      <c r="F57" s="180">
        <f t="shared" si="11"/>
        <v>0.88387458786587414</v>
      </c>
      <c r="G57" s="136">
        <f t="shared" si="11"/>
        <v>0.88387458786587414</v>
      </c>
    </row>
    <row r="58" spans="1:16" x14ac:dyDescent="0.3">
      <c r="P58" t="s">
        <v>189</v>
      </c>
    </row>
    <row r="71" spans="1:18" x14ac:dyDescent="0.3">
      <c r="A71" s="267" t="s">
        <v>131</v>
      </c>
      <c r="B71" s="268"/>
      <c r="C71" s="268"/>
      <c r="D71" s="268"/>
      <c r="E71" s="268"/>
      <c r="F71" s="269"/>
    </row>
    <row r="72" spans="1:18" ht="28.8" x14ac:dyDescent="0.3">
      <c r="A72" s="137" t="s">
        <v>182</v>
      </c>
      <c r="B72" s="252" t="s">
        <v>183</v>
      </c>
      <c r="C72" s="138" t="s">
        <v>116</v>
      </c>
      <c r="D72" s="137" t="s">
        <v>114</v>
      </c>
      <c r="E72" s="214" t="s">
        <v>117</v>
      </c>
      <c r="F72" s="215" t="s">
        <v>115</v>
      </c>
      <c r="H72" s="82"/>
      <c r="Q72"/>
      <c r="R72" s="90"/>
    </row>
    <row r="73" spans="1:18" x14ac:dyDescent="0.3">
      <c r="A73" s="270" t="s">
        <v>1</v>
      </c>
      <c r="B73" s="187" t="s">
        <v>120</v>
      </c>
      <c r="C73" s="179">
        <f>M5</f>
        <v>0.81188361963190192</v>
      </c>
      <c r="D73" s="179">
        <f>M$4</f>
        <v>0.86194678737713404</v>
      </c>
      <c r="E73" s="179">
        <f>N5</f>
        <v>0.81058147330906039</v>
      </c>
      <c r="F73" s="179">
        <f>N$4</f>
        <v>0.86046856540321903</v>
      </c>
      <c r="H73" s="82"/>
      <c r="Q73"/>
      <c r="R73" s="90"/>
    </row>
    <row r="74" spans="1:18" x14ac:dyDescent="0.3">
      <c r="A74" s="271"/>
      <c r="B74" s="155" t="s">
        <v>127</v>
      </c>
      <c r="C74" s="183">
        <f>M6</f>
        <v>0.88518935814342459</v>
      </c>
      <c r="D74" s="183">
        <f t="shared" ref="D74:D75" si="12">M$4</f>
        <v>0.86194678737713404</v>
      </c>
      <c r="E74" s="183">
        <f t="shared" ref="E74:E75" si="13">N6</f>
        <v>0.88518935814342459</v>
      </c>
      <c r="F74" s="183">
        <f>N$4</f>
        <v>0.86046856540321903</v>
      </c>
      <c r="H74" s="82"/>
      <c r="Q74"/>
      <c r="R74" s="90"/>
    </row>
    <row r="75" spans="1:18" x14ac:dyDescent="0.3">
      <c r="A75" s="271"/>
      <c r="B75" s="155" t="s">
        <v>122</v>
      </c>
      <c r="C75" s="183">
        <f>M7</f>
        <v>0.88323528930689021</v>
      </c>
      <c r="D75" s="183">
        <f t="shared" si="12"/>
        <v>0.86194678737713404</v>
      </c>
      <c r="E75" s="183">
        <f t="shared" si="13"/>
        <v>0.88192201485565225</v>
      </c>
      <c r="F75" s="183">
        <f>N$4</f>
        <v>0.86046856540321903</v>
      </c>
      <c r="H75" s="82"/>
      <c r="Q75"/>
      <c r="R75" s="90"/>
    </row>
    <row r="76" spans="1:18" x14ac:dyDescent="0.3">
      <c r="A76" s="271"/>
      <c r="B76" s="156" t="s">
        <v>135</v>
      </c>
      <c r="C76" s="180">
        <f>M8</f>
        <v>0.86814015946286205</v>
      </c>
      <c r="D76" s="180">
        <f t="shared" ref="D76" si="14">M$4</f>
        <v>0.86194678737713404</v>
      </c>
      <c r="E76" s="180">
        <f t="shared" ref="E76" si="15">N8</f>
        <v>0.86713478327618843</v>
      </c>
      <c r="F76" s="180">
        <f>N$4</f>
        <v>0.86046856540321903</v>
      </c>
      <c r="H76" s="82"/>
      <c r="Q76"/>
      <c r="R76" s="90"/>
    </row>
    <row r="77" spans="1:18" x14ac:dyDescent="0.3">
      <c r="A77" s="264" t="s">
        <v>14</v>
      </c>
      <c r="B77" s="155" t="s">
        <v>120</v>
      </c>
      <c r="C77" s="183">
        <f>M10</f>
        <v>0.92519621599509116</v>
      </c>
      <c r="D77" s="183">
        <f>M$9</f>
        <v>0.86333446636679634</v>
      </c>
      <c r="E77" s="183"/>
      <c r="F77" s="183"/>
      <c r="H77" s="82"/>
      <c r="Q77"/>
      <c r="R77" s="90"/>
    </row>
    <row r="78" spans="1:18" x14ac:dyDescent="0.3">
      <c r="A78" s="265"/>
      <c r="B78" s="155" t="s">
        <v>127</v>
      </c>
      <c r="C78" s="183">
        <f>M11</f>
        <v>0.93928089005235604</v>
      </c>
      <c r="D78" s="183">
        <f t="shared" ref="D78:D79" si="16">M$9</f>
        <v>0.86333446636679634</v>
      </c>
      <c r="E78" s="183"/>
      <c r="F78" s="183"/>
      <c r="H78" s="82"/>
      <c r="Q78"/>
      <c r="R78" s="90"/>
    </row>
    <row r="79" spans="1:18" x14ac:dyDescent="0.3">
      <c r="A79" s="265"/>
      <c r="B79" s="155" t="s">
        <v>122</v>
      </c>
      <c r="C79" s="183">
        <f>M12</f>
        <v>0.92374236453201974</v>
      </c>
      <c r="D79" s="183">
        <f t="shared" si="16"/>
        <v>0.86333446636679634</v>
      </c>
      <c r="E79" s="183"/>
      <c r="F79" s="183"/>
      <c r="H79" s="82"/>
      <c r="Q79"/>
      <c r="R79" s="90"/>
    </row>
    <row r="80" spans="1:18" x14ac:dyDescent="0.3">
      <c r="A80" s="266"/>
      <c r="B80" s="156" t="s">
        <v>135</v>
      </c>
      <c r="C80" s="180">
        <f>M13</f>
        <v>0.65052434182132057</v>
      </c>
      <c r="D80" s="180">
        <f t="shared" ref="D80" si="17">M$9</f>
        <v>0.86333446636679634</v>
      </c>
      <c r="E80" s="245"/>
      <c r="F80" s="245"/>
      <c r="H80" s="82"/>
      <c r="Q80"/>
      <c r="R80" s="90"/>
    </row>
    <row r="81" spans="1:18" x14ac:dyDescent="0.3">
      <c r="B81" s="126"/>
      <c r="C81" s="93"/>
      <c r="D81" s="93"/>
    </row>
    <row r="82" spans="1:18" x14ac:dyDescent="0.3">
      <c r="B82" s="126"/>
      <c r="C82" s="93"/>
      <c r="D82" s="93"/>
    </row>
    <row r="85" spans="1:18" x14ac:dyDescent="0.3">
      <c r="J85" t="s">
        <v>191</v>
      </c>
    </row>
    <row r="86" spans="1:18" ht="13.8" customHeight="1" x14ac:dyDescent="0.3">
      <c r="Q86" s="90" t="s">
        <v>192</v>
      </c>
    </row>
    <row r="87" spans="1:18" x14ac:dyDescent="0.3">
      <c r="B87" s="247" t="s">
        <v>166</v>
      </c>
      <c r="C87" s="248"/>
      <c r="D87" s="248"/>
      <c r="E87" s="248"/>
      <c r="F87" s="256"/>
      <c r="G87" s="251"/>
      <c r="H87" s="251"/>
      <c r="Q87"/>
      <c r="R87" s="90"/>
    </row>
    <row r="88" spans="1:18" x14ac:dyDescent="0.3">
      <c r="A88" s="137" t="s">
        <v>182</v>
      </c>
      <c r="B88" s="247" t="s">
        <v>187</v>
      </c>
      <c r="C88" s="248" t="s">
        <v>167</v>
      </c>
      <c r="D88" s="248" t="s">
        <v>120</v>
      </c>
      <c r="E88" s="249" t="s">
        <v>135</v>
      </c>
      <c r="F88" s="250" t="s">
        <v>126</v>
      </c>
      <c r="G88"/>
      <c r="P88" s="90"/>
      <c r="Q88"/>
    </row>
    <row r="89" spans="1:18" x14ac:dyDescent="0.3">
      <c r="A89" s="264" t="s">
        <v>1</v>
      </c>
      <c r="B89" s="187" t="s">
        <v>176</v>
      </c>
      <c r="C89" s="93">
        <f>D4</f>
        <v>0.75051241890639475</v>
      </c>
      <c r="D89" s="93">
        <f>D5</f>
        <v>0.74748660328435601</v>
      </c>
      <c r="E89" s="93">
        <f>D8</f>
        <v>0.75290000000000001</v>
      </c>
      <c r="F89" s="128">
        <f>D9</f>
        <v>0.75880000000000003</v>
      </c>
      <c r="G89"/>
      <c r="P89" s="90"/>
      <c r="Q89"/>
    </row>
    <row r="90" spans="1:18" x14ac:dyDescent="0.3">
      <c r="A90" s="265"/>
      <c r="B90" s="155" t="s">
        <v>177</v>
      </c>
      <c r="C90" s="93">
        <f>G4</f>
        <v>0.88387458786587414</v>
      </c>
      <c r="D90" s="93">
        <f>G5</f>
        <v>0.8643530120481927</v>
      </c>
      <c r="E90" s="93">
        <f>G8</f>
        <v>0.89080000000000004</v>
      </c>
      <c r="F90" s="128">
        <f>G9</f>
        <v>0.89980000000000004</v>
      </c>
      <c r="G90"/>
      <c r="P90" s="90"/>
      <c r="Q90"/>
    </row>
    <row r="91" spans="1:18" x14ac:dyDescent="0.3">
      <c r="A91" s="265"/>
      <c r="B91" s="156" t="s">
        <v>178</v>
      </c>
      <c r="C91" s="129">
        <f>M4</f>
        <v>0.86194678737713404</v>
      </c>
      <c r="D91" s="129">
        <f>M5</f>
        <v>0.81188361963190192</v>
      </c>
      <c r="E91" s="129">
        <f>M8</f>
        <v>0.86814015946286205</v>
      </c>
      <c r="F91" s="136">
        <f>M7</f>
        <v>0.88323528930689021</v>
      </c>
      <c r="H91" s="82"/>
      <c r="Q91"/>
      <c r="R91" s="90"/>
    </row>
    <row r="92" spans="1:18" x14ac:dyDescent="0.3">
      <c r="A92" s="265"/>
      <c r="B92" s="187" t="s">
        <v>179</v>
      </c>
      <c r="C92" s="246">
        <f>$D$4</f>
        <v>0.75051241890639475</v>
      </c>
      <c r="D92" s="246">
        <f>$D$4</f>
        <v>0.75051241890639475</v>
      </c>
      <c r="E92" s="246">
        <f>$D$4</f>
        <v>0.75051241890639475</v>
      </c>
      <c r="F92" s="244">
        <f>$D$4</f>
        <v>0.75051241890639475</v>
      </c>
      <c r="H92" s="82"/>
      <c r="Q92"/>
      <c r="R92" s="90"/>
    </row>
    <row r="93" spans="1:18" x14ac:dyDescent="0.3">
      <c r="A93" s="265"/>
      <c r="B93" s="155" t="s">
        <v>180</v>
      </c>
      <c r="C93" s="93">
        <f>$G$4</f>
        <v>0.88387458786587414</v>
      </c>
      <c r="D93" s="93">
        <f t="shared" ref="D93:F93" si="18">$G$4</f>
        <v>0.88387458786587414</v>
      </c>
      <c r="E93" s="93">
        <f t="shared" si="18"/>
        <v>0.88387458786587414</v>
      </c>
      <c r="F93" s="128">
        <f t="shared" si="18"/>
        <v>0.88387458786587414</v>
      </c>
      <c r="H93" s="82"/>
      <c r="Q93"/>
      <c r="R93" s="90"/>
    </row>
    <row r="94" spans="1:18" x14ac:dyDescent="0.3">
      <c r="A94" s="266"/>
      <c r="B94" s="156" t="s">
        <v>181</v>
      </c>
      <c r="C94" s="129">
        <f>$M$4</f>
        <v>0.86194678737713404</v>
      </c>
      <c r="D94" s="129">
        <f t="shared" ref="D94:F94" si="19">$M$4</f>
        <v>0.86194678737713404</v>
      </c>
      <c r="E94" s="129">
        <f t="shared" si="19"/>
        <v>0.86194678737713404</v>
      </c>
      <c r="F94" s="136">
        <f t="shared" si="19"/>
        <v>0.86194678737713404</v>
      </c>
      <c r="H94" s="82"/>
      <c r="Q94"/>
      <c r="R94" s="90"/>
    </row>
    <row r="107" spans="1:18" x14ac:dyDescent="0.3">
      <c r="B107" s="261" t="s">
        <v>173</v>
      </c>
      <c r="C107" s="262"/>
      <c r="D107" s="262"/>
      <c r="E107" s="262"/>
      <c r="F107" s="263"/>
      <c r="H107" s="82"/>
      <c r="Q107"/>
      <c r="R107" s="90"/>
    </row>
    <row r="108" spans="1:18" x14ac:dyDescent="0.3">
      <c r="A108" s="137" t="s">
        <v>182</v>
      </c>
      <c r="B108" s="247" t="s">
        <v>187</v>
      </c>
      <c r="C108" s="248" t="s">
        <v>167</v>
      </c>
      <c r="D108" s="248" t="s">
        <v>120</v>
      </c>
      <c r="E108" s="249" t="s">
        <v>135</v>
      </c>
      <c r="F108" s="250" t="s">
        <v>126</v>
      </c>
      <c r="H108" s="82"/>
      <c r="Q108"/>
      <c r="R108" s="90"/>
    </row>
    <row r="109" spans="1:18" x14ac:dyDescent="0.3">
      <c r="A109" s="264" t="s">
        <v>14</v>
      </c>
      <c r="B109" s="187" t="s">
        <v>168</v>
      </c>
      <c r="C109" s="93">
        <f>D10</f>
        <v>0.8353681462799496</v>
      </c>
      <c r="D109" s="93">
        <f>D11</f>
        <v>0.83318736842105257</v>
      </c>
      <c r="E109" s="93">
        <f>D14</f>
        <v>0.78181664025356579</v>
      </c>
      <c r="F109" s="128">
        <f>D15</f>
        <v>0.80936429675425037</v>
      </c>
      <c r="H109" s="82"/>
      <c r="Q109"/>
      <c r="R109" s="90"/>
    </row>
    <row r="110" spans="1:18" x14ac:dyDescent="0.3">
      <c r="A110" s="265"/>
      <c r="B110" s="155" t="s">
        <v>169</v>
      </c>
      <c r="C110" s="93">
        <f>G10</f>
        <v>0.94781879764968668</v>
      </c>
      <c r="D110" s="93">
        <f>G11</f>
        <v>0.95482496857980736</v>
      </c>
      <c r="E110" s="93">
        <f>G14</f>
        <v>0.9434862767901645</v>
      </c>
      <c r="F110" s="128">
        <f>G15</f>
        <v>0.95579664694280086</v>
      </c>
      <c r="H110" s="82"/>
      <c r="Q110"/>
      <c r="R110" s="90"/>
    </row>
    <row r="111" spans="1:18" x14ac:dyDescent="0.3">
      <c r="A111" s="265"/>
      <c r="B111" s="156" t="s">
        <v>131</v>
      </c>
      <c r="C111" s="129">
        <f>M9</f>
        <v>0.86333446636679634</v>
      </c>
      <c r="D111" s="129">
        <f>M10</f>
        <v>0.92519621599509116</v>
      </c>
      <c r="E111" s="129">
        <f>M13</f>
        <v>0.65052434182132057</v>
      </c>
      <c r="F111" s="136">
        <f>M12</f>
        <v>0.92374236453201974</v>
      </c>
      <c r="H111" s="82"/>
      <c r="Q111"/>
      <c r="R111" s="90"/>
    </row>
    <row r="112" spans="1:18" x14ac:dyDescent="0.3">
      <c r="A112" s="265"/>
      <c r="B112" s="187" t="s">
        <v>170</v>
      </c>
      <c r="C112" s="246">
        <f>$D$10</f>
        <v>0.8353681462799496</v>
      </c>
      <c r="D112" s="246">
        <f>$D$10</f>
        <v>0.8353681462799496</v>
      </c>
      <c r="E112" s="246">
        <f>$D$10</f>
        <v>0.8353681462799496</v>
      </c>
      <c r="F112" s="244">
        <f>$D$10</f>
        <v>0.8353681462799496</v>
      </c>
      <c r="H112" s="82"/>
      <c r="Q112"/>
      <c r="R112" s="90"/>
    </row>
    <row r="113" spans="1:18" x14ac:dyDescent="0.3">
      <c r="A113" s="265"/>
      <c r="B113" s="155" t="s">
        <v>171</v>
      </c>
      <c r="C113" s="93">
        <f>$G$10</f>
        <v>0.94781879764968668</v>
      </c>
      <c r="D113" s="93">
        <f>$G$10</f>
        <v>0.94781879764968668</v>
      </c>
      <c r="E113" s="93">
        <f>$G$10</f>
        <v>0.94781879764968668</v>
      </c>
      <c r="F113" s="128">
        <f>$G$10</f>
        <v>0.94781879764968668</v>
      </c>
      <c r="H113" s="82"/>
      <c r="Q113"/>
      <c r="R113" s="90"/>
    </row>
    <row r="114" spans="1:18" x14ac:dyDescent="0.3">
      <c r="A114" s="266"/>
      <c r="B114" s="156" t="s">
        <v>172</v>
      </c>
      <c r="C114" s="129">
        <f>$M$9</f>
        <v>0.86333446636679634</v>
      </c>
      <c r="D114" s="129">
        <f>$M$9</f>
        <v>0.86333446636679634</v>
      </c>
      <c r="E114" s="129">
        <f>$M$9</f>
        <v>0.86333446636679634</v>
      </c>
      <c r="F114" s="136">
        <f>$M$9</f>
        <v>0.86333446636679634</v>
      </c>
      <c r="H114" s="82"/>
      <c r="Q114"/>
      <c r="R114" s="90"/>
    </row>
  </sheetData>
  <mergeCells count="21">
    <mergeCell ref="J4:J8"/>
    <mergeCell ref="J9:J13"/>
    <mergeCell ref="J1:N1"/>
    <mergeCell ref="A54:A57"/>
    <mergeCell ref="A4:A9"/>
    <mergeCell ref="A10:A15"/>
    <mergeCell ref="C1:E1"/>
    <mergeCell ref="F1:H1"/>
    <mergeCell ref="A22:E22"/>
    <mergeCell ref="B52:G52"/>
    <mergeCell ref="B107:F107"/>
    <mergeCell ref="A89:A94"/>
    <mergeCell ref="A109:A114"/>
    <mergeCell ref="A37:F37"/>
    <mergeCell ref="A24:A28"/>
    <mergeCell ref="A29:A33"/>
    <mergeCell ref="A71:F71"/>
    <mergeCell ref="A73:A76"/>
    <mergeCell ref="A77:A80"/>
    <mergeCell ref="A39:A43"/>
    <mergeCell ref="A44:A4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3210-12BC-4713-90D5-5B13FEB5DDD7}">
  <dimension ref="A1:V61"/>
  <sheetViews>
    <sheetView topLeftCell="A20" zoomScaleNormal="100" workbookViewId="0">
      <selection activeCell="G71" sqref="G71"/>
    </sheetView>
  </sheetViews>
  <sheetFormatPr defaultRowHeight="14.4" x14ac:dyDescent="0.3"/>
  <cols>
    <col min="1" max="1" width="22.44140625" bestFit="1" customWidth="1"/>
    <col min="2" max="2" width="12.88671875" bestFit="1" customWidth="1"/>
    <col min="3" max="3" width="11.6640625" style="82" bestFit="1" customWidth="1"/>
    <col min="4" max="4" width="14.6640625" style="82" bestFit="1" customWidth="1"/>
    <col min="5" max="5" width="10.77734375" style="82" bestFit="1" customWidth="1"/>
    <col min="6" max="6" width="14.5546875" style="82" bestFit="1" customWidth="1"/>
    <col min="7" max="7" width="12.77734375" style="82" customWidth="1"/>
    <col min="8" max="8" width="11.109375" customWidth="1"/>
    <col min="9" max="9" width="12.21875" customWidth="1"/>
    <col min="10" max="10" width="16.21875" customWidth="1"/>
    <col min="22" max="22" width="9.44140625" customWidth="1"/>
  </cols>
  <sheetData>
    <row r="1" spans="1:16" x14ac:dyDescent="0.3">
      <c r="B1" s="272" t="s">
        <v>110</v>
      </c>
      <c r="C1" s="275"/>
      <c r="D1" s="276"/>
      <c r="E1" s="272" t="s">
        <v>113</v>
      </c>
      <c r="F1" s="273"/>
      <c r="G1" s="274"/>
      <c r="H1" s="272" t="s">
        <v>108</v>
      </c>
      <c r="I1" s="275"/>
      <c r="J1" s="276"/>
    </row>
    <row r="2" spans="1:16" ht="28.8" x14ac:dyDescent="0.3">
      <c r="A2" s="144"/>
      <c r="B2" s="157" t="s">
        <v>109</v>
      </c>
      <c r="C2" s="138" t="s">
        <v>92</v>
      </c>
      <c r="D2" s="139" t="s">
        <v>107</v>
      </c>
      <c r="E2" s="157" t="s">
        <v>109</v>
      </c>
      <c r="F2" s="138" t="s">
        <v>92</v>
      </c>
      <c r="G2" s="139" t="s">
        <v>107</v>
      </c>
      <c r="H2" s="157" t="s">
        <v>109</v>
      </c>
      <c r="I2" s="138" t="s">
        <v>92</v>
      </c>
      <c r="J2" s="139" t="s">
        <v>107</v>
      </c>
    </row>
    <row r="3" spans="1:16" x14ac:dyDescent="0.3">
      <c r="A3" s="153" t="s">
        <v>39</v>
      </c>
      <c r="B3" s="145">
        <v>163816</v>
      </c>
      <c r="C3" s="146">
        <v>0.84857261732675726</v>
      </c>
      <c r="D3" s="147">
        <v>0.81022284298138192</v>
      </c>
      <c r="E3" s="145">
        <v>65412</v>
      </c>
      <c r="F3" s="146">
        <v>0.80438255365987887</v>
      </c>
      <c r="G3" s="147">
        <v>0.76239911421636675</v>
      </c>
      <c r="H3" s="145">
        <v>49852</v>
      </c>
      <c r="I3" s="146">
        <v>0.9269404316777663</v>
      </c>
      <c r="J3" s="147">
        <v>0.85141866519288256</v>
      </c>
      <c r="N3" s="126"/>
      <c r="O3" s="93"/>
      <c r="P3" s="93"/>
    </row>
    <row r="4" spans="1:16" x14ac:dyDescent="0.3">
      <c r="A4" s="154" t="s">
        <v>111</v>
      </c>
      <c r="B4" s="148">
        <v>38148</v>
      </c>
      <c r="C4" s="149">
        <v>0.77208888801509923</v>
      </c>
      <c r="D4" s="150">
        <v>0.77208888801509923</v>
      </c>
      <c r="E4" s="148">
        <v>21978</v>
      </c>
      <c r="F4" s="149">
        <v>0.74903499863499867</v>
      </c>
      <c r="G4" s="150">
        <v>0.74679060488492477</v>
      </c>
      <c r="H4" s="148">
        <v>14750</v>
      </c>
      <c r="I4" s="149">
        <v>0.88054482711864401</v>
      </c>
      <c r="J4" s="150">
        <v>0.88054482711864401</v>
      </c>
      <c r="N4" s="126"/>
      <c r="O4" s="93"/>
      <c r="P4" s="93"/>
    </row>
    <row r="5" spans="1:16" x14ac:dyDescent="0.3">
      <c r="A5" s="155" t="s">
        <v>41</v>
      </c>
      <c r="B5" s="151">
        <v>6546</v>
      </c>
      <c r="C5" s="93">
        <v>0.71991810265811174</v>
      </c>
      <c r="D5" s="128">
        <v>0.71991810265811174</v>
      </c>
      <c r="E5" s="151">
        <v>6942</v>
      </c>
      <c r="F5" s="93">
        <v>0.74748660328435601</v>
      </c>
      <c r="G5" s="128">
        <v>0.74016470044271321</v>
      </c>
      <c r="H5" s="151">
        <v>6474</v>
      </c>
      <c r="I5" s="93">
        <v>0.8643530120481927</v>
      </c>
      <c r="J5" s="128">
        <v>0.8643530120481927</v>
      </c>
      <c r="N5" s="126"/>
      <c r="O5" s="93"/>
      <c r="P5" s="93"/>
    </row>
    <row r="6" spans="1:16" x14ac:dyDescent="0.3">
      <c r="A6" s="155" t="s">
        <v>40</v>
      </c>
      <c r="B6" s="151">
        <v>11148</v>
      </c>
      <c r="C6" s="93">
        <v>0.78817365984930021</v>
      </c>
      <c r="D6" s="128">
        <v>0.78817365984930021</v>
      </c>
      <c r="E6" s="151">
        <v>7470</v>
      </c>
      <c r="F6" s="93">
        <v>0.74591084337349389</v>
      </c>
      <c r="G6" s="128">
        <v>0.74591084337349389</v>
      </c>
      <c r="H6" s="151">
        <v>2196</v>
      </c>
      <c r="I6" s="93">
        <v>0.89029999999999998</v>
      </c>
      <c r="J6" s="128">
        <v>0.89029999999999998</v>
      </c>
      <c r="N6" s="126"/>
      <c r="O6" s="93"/>
      <c r="P6" s="93"/>
    </row>
    <row r="7" spans="1:16" x14ac:dyDescent="0.3">
      <c r="A7" s="155" t="s">
        <v>42</v>
      </c>
      <c r="B7" s="151">
        <v>9222</v>
      </c>
      <c r="C7" s="93">
        <v>0.79453115159401433</v>
      </c>
      <c r="D7" s="128">
        <v>0.79453115159401433</v>
      </c>
      <c r="E7" s="151">
        <v>3726</v>
      </c>
      <c r="F7" s="93">
        <v>0.75419999999999998</v>
      </c>
      <c r="G7" s="128">
        <v>0.75419999999999998</v>
      </c>
      <c r="H7" s="151">
        <v>2216</v>
      </c>
      <c r="I7" s="93">
        <v>0.90029999999999999</v>
      </c>
      <c r="J7" s="128">
        <v>0.90029999999999999</v>
      </c>
      <c r="N7" s="126"/>
      <c r="O7" s="93"/>
      <c r="P7" s="93"/>
    </row>
    <row r="8" spans="1:16" x14ac:dyDescent="0.3">
      <c r="A8" s="155" t="s">
        <v>134</v>
      </c>
      <c r="B8" s="151">
        <v>11232</v>
      </c>
      <c r="C8" s="93">
        <v>0.76810334401709401</v>
      </c>
      <c r="D8" s="128">
        <v>0.76810334401709401</v>
      </c>
      <c r="E8" s="151">
        <v>3840</v>
      </c>
      <c r="F8" s="93">
        <v>0.75290000000000001</v>
      </c>
      <c r="G8" s="128">
        <v>0.75290000000000001</v>
      </c>
      <c r="H8" s="151">
        <v>3864</v>
      </c>
      <c r="I8" s="93">
        <v>0.89080000000000004</v>
      </c>
      <c r="J8" s="128">
        <v>0.89080000000000004</v>
      </c>
      <c r="N8" s="126"/>
      <c r="O8" s="93"/>
      <c r="P8" s="93"/>
    </row>
    <row r="9" spans="1:16" x14ac:dyDescent="0.3">
      <c r="A9" s="154" t="s">
        <v>112</v>
      </c>
      <c r="B9" s="148">
        <v>125668</v>
      </c>
      <c r="C9" s="149">
        <v>0.87179015326097342</v>
      </c>
      <c r="D9" s="150">
        <v>0.82645520780209103</v>
      </c>
      <c r="E9" s="148">
        <v>39816</v>
      </c>
      <c r="F9" s="149">
        <v>0.84043881856540092</v>
      </c>
      <c r="G9" s="150">
        <v>0.77726555377776529</v>
      </c>
      <c r="H9" s="148">
        <v>35102</v>
      </c>
      <c r="I9" s="149">
        <v>0.94643604922796409</v>
      </c>
      <c r="J9" s="150">
        <v>0.83546231108857538</v>
      </c>
      <c r="N9" s="126"/>
      <c r="O9" s="93"/>
      <c r="P9" s="93"/>
    </row>
    <row r="10" spans="1:16" x14ac:dyDescent="0.3">
      <c r="A10" s="155" t="s">
        <v>45</v>
      </c>
      <c r="B10" s="151">
        <v>69594</v>
      </c>
      <c r="C10" s="93">
        <v>0.88859009052504523</v>
      </c>
      <c r="D10" s="128">
        <v>0.84078415780589666</v>
      </c>
      <c r="E10" s="151">
        <v>6840</v>
      </c>
      <c r="F10" s="93">
        <v>0.83318736842105257</v>
      </c>
      <c r="G10" s="128">
        <v>0.77290316270798931</v>
      </c>
      <c r="H10" s="151">
        <v>14322</v>
      </c>
      <c r="I10" s="93">
        <v>0.95482496857980736</v>
      </c>
      <c r="J10" s="128">
        <v>0.72017420843232538</v>
      </c>
      <c r="N10" s="126"/>
      <c r="O10" s="93"/>
      <c r="P10" s="93"/>
    </row>
    <row r="11" spans="1:16" x14ac:dyDescent="0.3">
      <c r="A11" s="155" t="s">
        <v>46</v>
      </c>
      <c r="B11" s="151">
        <v>17554</v>
      </c>
      <c r="C11" s="93">
        <v>0.89909637461547232</v>
      </c>
      <c r="D11" s="128">
        <v>0.86139034868743336</v>
      </c>
      <c r="E11" s="151">
        <v>21678</v>
      </c>
      <c r="F11" s="93">
        <v>0.85506282867423189</v>
      </c>
      <c r="G11" s="128">
        <v>0.80054047410741125</v>
      </c>
      <c r="H11" s="151">
        <v>4362</v>
      </c>
      <c r="I11" s="93">
        <v>0.94248528198074266</v>
      </c>
      <c r="J11" s="128">
        <v>0.92313749999999994</v>
      </c>
      <c r="N11" s="126"/>
      <c r="O11" s="93"/>
      <c r="P11" s="93"/>
    </row>
    <row r="12" spans="1:16" x14ac:dyDescent="0.3">
      <c r="A12" s="155" t="s">
        <v>47</v>
      </c>
      <c r="B12" s="151">
        <v>18306</v>
      </c>
      <c r="C12" s="93">
        <v>0.85678279908226818</v>
      </c>
      <c r="D12" s="128">
        <v>0.80784710642040469</v>
      </c>
      <c r="E12" s="151">
        <v>3726</v>
      </c>
      <c r="F12" s="93">
        <v>0.88780000000000003</v>
      </c>
      <c r="G12" s="128">
        <v>0.77559999999999985</v>
      </c>
      <c r="H12" s="151">
        <v>4380</v>
      </c>
      <c r="I12" s="93">
        <v>0.93104712328767114</v>
      </c>
      <c r="J12" s="128">
        <v>0.90755629017447192</v>
      </c>
      <c r="N12" s="126"/>
      <c r="O12" s="93"/>
      <c r="P12" s="93"/>
    </row>
    <row r="13" spans="1:16" x14ac:dyDescent="0.3">
      <c r="A13" s="156" t="s">
        <v>133</v>
      </c>
      <c r="B13" s="152">
        <v>20214</v>
      </c>
      <c r="C13" s="129">
        <v>0.8038281656277827</v>
      </c>
      <c r="D13" s="136">
        <v>0.76504810950136626</v>
      </c>
      <c r="E13" s="152">
        <v>7572</v>
      </c>
      <c r="F13" s="129">
        <v>0.78181664025356579</v>
      </c>
      <c r="G13" s="136">
        <v>0.71132021215371932</v>
      </c>
      <c r="H13" s="152">
        <v>12038</v>
      </c>
      <c r="I13" s="129">
        <v>0.9434862767901645</v>
      </c>
      <c r="J13" s="136">
        <v>0.92416530533734009</v>
      </c>
      <c r="N13" s="126"/>
      <c r="O13" s="93"/>
      <c r="P13" s="93"/>
    </row>
    <row r="18" spans="1:7" x14ac:dyDescent="0.3">
      <c r="A18" s="267" t="s">
        <v>110</v>
      </c>
      <c r="B18" s="268"/>
      <c r="C18" s="268"/>
      <c r="D18" s="268"/>
      <c r="E18" s="269"/>
    </row>
    <row r="19" spans="1:7" ht="28.8" x14ac:dyDescent="0.3">
      <c r="A19" s="140"/>
      <c r="B19" s="138" t="s">
        <v>116</v>
      </c>
      <c r="C19" s="137" t="s">
        <v>114</v>
      </c>
      <c r="D19" s="139" t="s">
        <v>117</v>
      </c>
      <c r="E19" s="137" t="s">
        <v>115</v>
      </c>
    </row>
    <row r="20" spans="1:7" x14ac:dyDescent="0.3">
      <c r="A20" s="43" t="s">
        <v>41</v>
      </c>
      <c r="B20" s="93">
        <f t="shared" ref="B20:B23" si="0">C5</f>
        <v>0.71991810265811174</v>
      </c>
      <c r="C20" s="93">
        <f t="shared" ref="C20:C23" si="1">C$4</f>
        <v>0.77208888801509923</v>
      </c>
      <c r="E20" s="127"/>
    </row>
    <row r="21" spans="1:7" x14ac:dyDescent="0.3">
      <c r="A21" s="43" t="s">
        <v>40</v>
      </c>
      <c r="B21" s="93">
        <f t="shared" si="0"/>
        <v>0.78817365984930021</v>
      </c>
      <c r="C21" s="93">
        <f t="shared" si="1"/>
        <v>0.77208888801509923</v>
      </c>
      <c r="E21" s="127"/>
    </row>
    <row r="22" spans="1:7" x14ac:dyDescent="0.3">
      <c r="A22" s="43" t="s">
        <v>42</v>
      </c>
      <c r="B22" s="93">
        <f t="shared" si="0"/>
        <v>0.79453115159401433</v>
      </c>
      <c r="C22" s="93">
        <f t="shared" si="1"/>
        <v>0.77208888801509923</v>
      </c>
      <c r="E22" s="127"/>
    </row>
    <row r="23" spans="1:7" x14ac:dyDescent="0.3">
      <c r="A23" s="43" t="s">
        <v>134</v>
      </c>
      <c r="B23" s="93">
        <f t="shared" si="0"/>
        <v>0.76810334401709401</v>
      </c>
      <c r="C23" s="93">
        <f t="shared" si="1"/>
        <v>0.77208888801509923</v>
      </c>
      <c r="E23" s="127"/>
    </row>
    <row r="24" spans="1:7" x14ac:dyDescent="0.3">
      <c r="A24" s="43" t="s">
        <v>45</v>
      </c>
      <c r="B24" s="93">
        <f t="shared" ref="B24:B27" si="2">C10</f>
        <v>0.88859009052504523</v>
      </c>
      <c r="C24" s="93">
        <f>C$9</f>
        <v>0.87179015326097342</v>
      </c>
      <c r="D24" s="93">
        <f>D10</f>
        <v>0.84078415780589666</v>
      </c>
      <c r="E24" s="128">
        <f>D$9</f>
        <v>0.82645520780209103</v>
      </c>
      <c r="F24"/>
      <c r="G24"/>
    </row>
    <row r="25" spans="1:7" x14ac:dyDescent="0.3">
      <c r="A25" s="43" t="s">
        <v>46</v>
      </c>
      <c r="B25" s="93">
        <f t="shared" si="2"/>
        <v>0.89909637461547232</v>
      </c>
      <c r="C25" s="93">
        <f t="shared" ref="C25:C27" si="3">C$9</f>
        <v>0.87179015326097342</v>
      </c>
      <c r="D25" s="93">
        <f t="shared" ref="D25:D27" si="4">D11</f>
        <v>0.86139034868743336</v>
      </c>
      <c r="E25" s="128">
        <f t="shared" ref="E25:E27" si="5">D$9</f>
        <v>0.82645520780209103</v>
      </c>
      <c r="F25"/>
      <c r="G25"/>
    </row>
    <row r="26" spans="1:7" x14ac:dyDescent="0.3">
      <c r="A26" s="43" t="s">
        <v>47</v>
      </c>
      <c r="B26" s="93">
        <f t="shared" si="2"/>
        <v>0.85678279908226818</v>
      </c>
      <c r="C26" s="93">
        <f t="shared" si="3"/>
        <v>0.87179015326097342</v>
      </c>
      <c r="D26" s="93">
        <f t="shared" si="4"/>
        <v>0.80784710642040469</v>
      </c>
      <c r="E26" s="128">
        <f t="shared" si="5"/>
        <v>0.82645520780209103</v>
      </c>
      <c r="F26"/>
      <c r="G26"/>
    </row>
    <row r="27" spans="1:7" x14ac:dyDescent="0.3">
      <c r="A27" s="48" t="s">
        <v>133</v>
      </c>
      <c r="B27" s="129">
        <f t="shared" si="2"/>
        <v>0.8038281656277827</v>
      </c>
      <c r="C27" s="129">
        <f t="shared" si="3"/>
        <v>0.87179015326097342</v>
      </c>
      <c r="D27" s="129">
        <f t="shared" si="4"/>
        <v>0.76504810950136626</v>
      </c>
      <c r="E27" s="136">
        <f t="shared" si="5"/>
        <v>0.82645520780209103</v>
      </c>
      <c r="F27"/>
      <c r="G27"/>
    </row>
    <row r="28" spans="1:7" x14ac:dyDescent="0.3">
      <c r="B28" s="93"/>
      <c r="C28" s="93"/>
      <c r="D28" s="93"/>
      <c r="E28" s="93"/>
      <c r="F28"/>
      <c r="G28"/>
    </row>
    <row r="29" spans="1:7" x14ac:dyDescent="0.3">
      <c r="B29" s="93"/>
      <c r="C29" s="93"/>
      <c r="D29" s="93"/>
      <c r="E29" s="93"/>
      <c r="F29"/>
      <c r="G29"/>
    </row>
    <row r="31" spans="1:7" x14ac:dyDescent="0.3">
      <c r="A31" s="267" t="s">
        <v>113</v>
      </c>
      <c r="B31" s="268"/>
      <c r="C31" s="268"/>
      <c r="D31" s="268"/>
      <c r="E31" s="269"/>
    </row>
    <row r="32" spans="1:7" ht="28.8" x14ac:dyDescent="0.3">
      <c r="A32" s="142"/>
      <c r="B32" s="138" t="s">
        <v>116</v>
      </c>
      <c r="C32" s="143" t="s">
        <v>114</v>
      </c>
      <c r="D32" s="139" t="s">
        <v>117</v>
      </c>
      <c r="E32" s="143" t="s">
        <v>115</v>
      </c>
    </row>
    <row r="33" spans="1:22" x14ac:dyDescent="0.3">
      <c r="A33" s="43" t="s">
        <v>41</v>
      </c>
      <c r="B33" s="93">
        <f t="shared" ref="B33:B36" si="6">F5</f>
        <v>0.74748660328435601</v>
      </c>
      <c r="C33" s="93">
        <f t="shared" ref="C33:C36" si="7">F$4</f>
        <v>0.74903499863499867</v>
      </c>
      <c r="E33" s="127"/>
      <c r="F33"/>
      <c r="G33"/>
    </row>
    <row r="34" spans="1:22" x14ac:dyDescent="0.3">
      <c r="A34" s="43" t="s">
        <v>40</v>
      </c>
      <c r="B34" s="93">
        <f t="shared" si="6"/>
        <v>0.74591084337349389</v>
      </c>
      <c r="C34" s="93">
        <f t="shared" si="7"/>
        <v>0.74903499863499867</v>
      </c>
      <c r="E34" s="127"/>
      <c r="F34"/>
      <c r="G34"/>
    </row>
    <row r="35" spans="1:22" x14ac:dyDescent="0.3">
      <c r="A35" s="43" t="s">
        <v>42</v>
      </c>
      <c r="B35" s="93">
        <f t="shared" si="6"/>
        <v>0.75419999999999998</v>
      </c>
      <c r="C35" s="93">
        <f t="shared" si="7"/>
        <v>0.74903499863499867</v>
      </c>
      <c r="E35" s="127"/>
      <c r="F35"/>
      <c r="G35"/>
    </row>
    <row r="36" spans="1:22" x14ac:dyDescent="0.3">
      <c r="A36" s="43" t="s">
        <v>134</v>
      </c>
      <c r="B36" s="93">
        <f t="shared" si="6"/>
        <v>0.75290000000000001</v>
      </c>
      <c r="C36" s="93">
        <f t="shared" si="7"/>
        <v>0.74903499863499867</v>
      </c>
      <c r="E36" s="127"/>
      <c r="F36"/>
      <c r="G36"/>
    </row>
    <row r="37" spans="1:22" x14ac:dyDescent="0.3">
      <c r="A37" s="43" t="s">
        <v>45</v>
      </c>
      <c r="B37" s="93">
        <f t="shared" ref="B37:B40" si="8">F10</f>
        <v>0.83318736842105257</v>
      </c>
      <c r="C37" s="93">
        <f t="shared" ref="C37:C40" si="9">F$9</f>
        <v>0.84043881856540092</v>
      </c>
      <c r="D37" s="93">
        <f t="shared" ref="D37:D40" si="10">G10</f>
        <v>0.77290316270798931</v>
      </c>
      <c r="E37" s="128">
        <f t="shared" ref="E37:E40" si="11">G$9</f>
        <v>0.77726555377776529</v>
      </c>
      <c r="F37"/>
      <c r="G37"/>
    </row>
    <row r="38" spans="1:22" x14ac:dyDescent="0.3">
      <c r="A38" s="43" t="s">
        <v>46</v>
      </c>
      <c r="B38" s="93">
        <f t="shared" si="8"/>
        <v>0.85506282867423189</v>
      </c>
      <c r="C38" s="93">
        <f t="shared" si="9"/>
        <v>0.84043881856540092</v>
      </c>
      <c r="D38" s="93">
        <f t="shared" si="10"/>
        <v>0.80054047410741125</v>
      </c>
      <c r="E38" s="128">
        <f t="shared" si="11"/>
        <v>0.77726555377776529</v>
      </c>
      <c r="F38"/>
      <c r="G38"/>
    </row>
    <row r="39" spans="1:22" x14ac:dyDescent="0.3">
      <c r="A39" s="43" t="s">
        <v>47</v>
      </c>
      <c r="B39" s="93">
        <f t="shared" si="8"/>
        <v>0.88780000000000003</v>
      </c>
      <c r="C39" s="93">
        <f t="shared" si="9"/>
        <v>0.84043881856540092</v>
      </c>
      <c r="D39" s="93">
        <f t="shared" si="10"/>
        <v>0.77559999999999985</v>
      </c>
      <c r="E39" s="128">
        <f t="shared" si="11"/>
        <v>0.77726555377776529</v>
      </c>
      <c r="F39"/>
      <c r="G39"/>
    </row>
    <row r="40" spans="1:22" x14ac:dyDescent="0.3">
      <c r="A40" s="48" t="s">
        <v>133</v>
      </c>
      <c r="B40" s="129">
        <f t="shared" si="8"/>
        <v>0.78181664025356579</v>
      </c>
      <c r="C40" s="129">
        <f t="shared" si="9"/>
        <v>0.84043881856540092</v>
      </c>
      <c r="D40" s="129">
        <f t="shared" si="10"/>
        <v>0.71132021215371932</v>
      </c>
      <c r="E40" s="136">
        <f t="shared" si="11"/>
        <v>0.77726555377776529</v>
      </c>
    </row>
    <row r="41" spans="1:22" x14ac:dyDescent="0.3">
      <c r="B41" s="93"/>
      <c r="C41" s="93"/>
      <c r="D41" s="93"/>
      <c r="E41" s="93"/>
    </row>
    <row r="42" spans="1:22" x14ac:dyDescent="0.3">
      <c r="B42" s="93"/>
      <c r="C42" s="93"/>
      <c r="D42" s="93"/>
      <c r="E42" s="93"/>
    </row>
    <row r="43" spans="1:22" x14ac:dyDescent="0.3">
      <c r="A43" s="135"/>
      <c r="B43" s="135"/>
      <c r="C43" s="135"/>
    </row>
    <row r="44" spans="1:22" x14ac:dyDescent="0.3">
      <c r="A44" s="267" t="s">
        <v>108</v>
      </c>
      <c r="B44" s="268"/>
      <c r="C44" s="268"/>
      <c r="D44" s="268"/>
      <c r="E44" s="269"/>
      <c r="U44" s="81"/>
      <c r="V44" s="81"/>
    </row>
    <row r="45" spans="1:22" ht="28.8" x14ac:dyDescent="0.3">
      <c r="A45" s="137"/>
      <c r="B45" s="138" t="s">
        <v>116</v>
      </c>
      <c r="C45" s="137" t="s">
        <v>114</v>
      </c>
      <c r="D45" s="139" t="s">
        <v>117</v>
      </c>
      <c r="E45" s="137" t="s">
        <v>115</v>
      </c>
      <c r="U45" s="81"/>
      <c r="V45" s="81"/>
    </row>
    <row r="46" spans="1:22" x14ac:dyDescent="0.3">
      <c r="A46" s="43" t="s">
        <v>41</v>
      </c>
      <c r="B46" s="93">
        <f t="shared" ref="B46:B49" si="12">I5</f>
        <v>0.8643530120481927</v>
      </c>
      <c r="C46" s="93">
        <f t="shared" ref="C46:C49" si="13">I$4</f>
        <v>0.88054482711864401</v>
      </c>
      <c r="E46" s="127"/>
      <c r="U46" s="82"/>
      <c r="V46" s="82"/>
    </row>
    <row r="47" spans="1:22" x14ac:dyDescent="0.3">
      <c r="A47" s="43" t="s">
        <v>40</v>
      </c>
      <c r="B47" s="93">
        <f t="shared" si="12"/>
        <v>0.89029999999999998</v>
      </c>
      <c r="C47" s="93">
        <f t="shared" si="13"/>
        <v>0.88054482711864401</v>
      </c>
      <c r="E47" s="127"/>
      <c r="U47" s="82"/>
      <c r="V47" s="82"/>
    </row>
    <row r="48" spans="1:22" x14ac:dyDescent="0.3">
      <c r="A48" s="43" t="s">
        <v>42</v>
      </c>
      <c r="B48" s="93">
        <f t="shared" si="12"/>
        <v>0.90029999999999999</v>
      </c>
      <c r="C48" s="93">
        <f t="shared" si="13"/>
        <v>0.88054482711864401</v>
      </c>
      <c r="E48" s="127"/>
      <c r="U48" s="82"/>
      <c r="V48" s="82"/>
    </row>
    <row r="49" spans="1:8" x14ac:dyDescent="0.3">
      <c r="A49" s="43" t="s">
        <v>134</v>
      </c>
      <c r="B49" s="93">
        <f t="shared" si="12"/>
        <v>0.89080000000000004</v>
      </c>
      <c r="C49" s="93">
        <f t="shared" si="13"/>
        <v>0.88054482711864401</v>
      </c>
      <c r="E49" s="127"/>
    </row>
    <row r="50" spans="1:8" x14ac:dyDescent="0.3">
      <c r="A50" s="43" t="s">
        <v>45</v>
      </c>
      <c r="B50" s="93">
        <f t="shared" ref="B50:B53" si="14">I10</f>
        <v>0.95482496857980736</v>
      </c>
      <c r="C50" s="93">
        <f t="shared" ref="C50:C53" si="15">I$9</f>
        <v>0.94643604922796409</v>
      </c>
      <c r="D50" s="93">
        <f t="shared" ref="D50:D53" si="16">J10</f>
        <v>0.72017420843232538</v>
      </c>
      <c r="E50" s="128">
        <f t="shared" ref="E50:E53" si="17">J$9</f>
        <v>0.83546231108857538</v>
      </c>
    </row>
    <row r="51" spans="1:8" x14ac:dyDescent="0.3">
      <c r="A51" s="43" t="s">
        <v>46</v>
      </c>
      <c r="B51" s="93">
        <f t="shared" si="14"/>
        <v>0.94248528198074266</v>
      </c>
      <c r="C51" s="93">
        <f t="shared" si="15"/>
        <v>0.94643604922796409</v>
      </c>
      <c r="D51" s="93">
        <f t="shared" si="16"/>
        <v>0.92313749999999994</v>
      </c>
      <c r="E51" s="128">
        <f t="shared" si="17"/>
        <v>0.83546231108857538</v>
      </c>
    </row>
    <row r="52" spans="1:8" x14ac:dyDescent="0.3">
      <c r="A52" s="43" t="s">
        <v>47</v>
      </c>
      <c r="B52" s="93">
        <f t="shared" si="14"/>
        <v>0.93104712328767114</v>
      </c>
      <c r="C52" s="93">
        <f t="shared" si="15"/>
        <v>0.94643604922796409</v>
      </c>
      <c r="D52" s="93">
        <f t="shared" si="16"/>
        <v>0.90755629017447192</v>
      </c>
      <c r="E52" s="128">
        <f t="shared" si="17"/>
        <v>0.83546231108857538</v>
      </c>
    </row>
    <row r="53" spans="1:8" x14ac:dyDescent="0.3">
      <c r="A53" s="48" t="s">
        <v>133</v>
      </c>
      <c r="B53" s="129">
        <f t="shared" si="14"/>
        <v>0.9434862767901645</v>
      </c>
      <c r="C53" s="129">
        <f t="shared" si="15"/>
        <v>0.94643604922796409</v>
      </c>
      <c r="D53" s="129">
        <f t="shared" si="16"/>
        <v>0.92416530533734009</v>
      </c>
      <c r="E53" s="136">
        <f t="shared" si="17"/>
        <v>0.83546231108857538</v>
      </c>
    </row>
    <row r="57" spans="1:8" x14ac:dyDescent="0.3">
      <c r="A57" s="261" t="s">
        <v>121</v>
      </c>
      <c r="B57" s="262"/>
      <c r="C57" s="262"/>
      <c r="D57" s="262"/>
      <c r="E57" s="262"/>
      <c r="F57" s="263"/>
    </row>
    <row r="58" spans="1:8" x14ac:dyDescent="0.3">
      <c r="A58" s="140"/>
      <c r="B58" s="140" t="s">
        <v>114</v>
      </c>
      <c r="C58" s="140" t="s">
        <v>120</v>
      </c>
      <c r="D58" s="141" t="s">
        <v>2</v>
      </c>
      <c r="E58" s="141" t="s">
        <v>15</v>
      </c>
      <c r="F58" s="141" t="s">
        <v>135</v>
      </c>
      <c r="H58" s="82"/>
    </row>
    <row r="59" spans="1:8" x14ac:dyDescent="0.3">
      <c r="A59" s="43" t="s">
        <v>118</v>
      </c>
      <c r="B59" s="93">
        <f>C4</f>
        <v>0.77208888801509923</v>
      </c>
      <c r="C59" s="93">
        <f>C5</f>
        <v>0.71991810265811174</v>
      </c>
      <c r="D59" s="93">
        <f>C6</f>
        <v>0.78817365984930021</v>
      </c>
      <c r="E59" s="93">
        <f>C7</f>
        <v>0.79453115159401433</v>
      </c>
      <c r="F59" s="128">
        <f>C8</f>
        <v>0.76810334401709401</v>
      </c>
      <c r="G59" s="93"/>
      <c r="H59" s="93"/>
    </row>
    <row r="60" spans="1:8" x14ac:dyDescent="0.3">
      <c r="A60" s="43" t="s">
        <v>119</v>
      </c>
      <c r="B60" s="93">
        <f>F4</f>
        <v>0.74903499863499867</v>
      </c>
      <c r="C60" s="93">
        <f>F5</f>
        <v>0.74748660328435601</v>
      </c>
      <c r="D60" s="93">
        <f>F6</f>
        <v>0.74591084337349389</v>
      </c>
      <c r="E60" s="93">
        <f>F7</f>
        <v>0.75419999999999998</v>
      </c>
      <c r="F60" s="128">
        <f>F8</f>
        <v>0.75290000000000001</v>
      </c>
      <c r="G60" s="93"/>
      <c r="H60" s="93"/>
    </row>
    <row r="61" spans="1:8" x14ac:dyDescent="0.3">
      <c r="A61" s="48" t="s">
        <v>108</v>
      </c>
      <c r="B61" s="129">
        <f>I4</f>
        <v>0.88054482711864401</v>
      </c>
      <c r="C61" s="129">
        <f>I5</f>
        <v>0.8643530120481927</v>
      </c>
      <c r="D61" s="129">
        <f>I6</f>
        <v>0.89029999999999998</v>
      </c>
      <c r="E61" s="129">
        <f>I7</f>
        <v>0.90029999999999999</v>
      </c>
      <c r="F61" s="136">
        <f>I8</f>
        <v>0.89080000000000004</v>
      </c>
      <c r="G61" s="93"/>
      <c r="H61" s="93"/>
    </row>
  </sheetData>
  <mergeCells count="7">
    <mergeCell ref="A57:F57"/>
    <mergeCell ref="B1:D1"/>
    <mergeCell ref="H1:J1"/>
    <mergeCell ref="E1:G1"/>
    <mergeCell ref="A18:E18"/>
    <mergeCell ref="A31:E31"/>
    <mergeCell ref="A44:E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 MC1</vt:lpstr>
      <vt:lpstr>result MC2</vt:lpstr>
      <vt:lpstr>result MC3</vt:lpstr>
      <vt:lpstr>result LSTM</vt:lpstr>
      <vt:lpstr>result Ens.L</vt:lpstr>
      <vt:lpstr>Summary</vt:lpstr>
      <vt:lpstr>old-Summary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Glass</dc:creator>
  <cp:lastModifiedBy>Philippe Glass</cp:lastModifiedBy>
  <dcterms:created xsi:type="dcterms:W3CDTF">2015-06-05T18:19:34Z</dcterms:created>
  <dcterms:modified xsi:type="dcterms:W3CDTF">2025-05-23T09:42:08Z</dcterms:modified>
</cp:coreProperties>
</file>