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PVK19FS07\Individuelles$\S11048\Desktop\Memoire\"/>
    </mc:Choice>
  </mc:AlternateContent>
  <xr:revisionPtr revIDLastSave="0" documentId="13_ncr:1_{7453BD5C-1BC4-4914-AB4A-BE843DD0883F}" xr6:coauthVersionLast="36" xr6:coauthVersionMax="36" xr10:uidLastSave="{00000000-0000-0000-0000-000000000000}"/>
  <bookViews>
    <workbookView xWindow="0" yWindow="0" windowWidth="38400" windowHeight="17025" activeTab="8" xr2:uid="{421BC1AB-6429-488E-B16E-5F81E4CF4409}"/>
  </bookViews>
  <sheets>
    <sheet name="enquete perinat 2021" sheetId="3" r:id="rId1"/>
    <sheet name="tableau" sheetId="11" r:id="rId2"/>
    <sheet name="tableau (2)" sheetId="13" r:id="rId3"/>
    <sheet name="tableau patho" sheetId="15" r:id="rId4"/>
    <sheet name="population" sheetId="14" r:id="rId5"/>
    <sheet name="RCF2" sheetId="16" r:id="rId6"/>
    <sheet name="RCF3" sheetId="25" r:id="rId7"/>
    <sheet name="RCF7" sheetId="21" r:id="rId8"/>
    <sheet name="PE" sheetId="22" r:id="rId9"/>
    <sheet name="HTAC" sheetId="23" r:id="rId10"/>
    <sheet name="HTAG" sheetId="24" r:id="rId11"/>
  </sheets>
  <definedNames>
    <definedName name="_xlnm._FilterDatabase" localSheetId="8" hidden="1">PE!$A$1:$AN$1</definedName>
    <definedName name="_xlnm._FilterDatabase" localSheetId="5" hidden="1">'RCF2'!$A$1:$AO$1</definedName>
    <definedName name="_xlnm._FilterDatabase" localSheetId="6" hidden="1">'RCF3'!$A$1:$AO$1</definedName>
    <definedName name="_xlnm._FilterDatabase" localSheetId="7" hidden="1">'RCF7'!$A$1:$AO$19</definedName>
    <definedName name="_xlnm._FilterDatabase" localSheetId="1" hidden="1">tableau!$A$1:$AP$1</definedName>
    <definedName name="_xlnm._FilterDatabase" localSheetId="2" hidden="1">'tableau (2)'!$A$1:$AN$1</definedName>
    <definedName name="_xlnm._FilterDatabase" localSheetId="3" hidden="1">'tableau patho'!$B$1:$AQ$1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7" i="22" l="1"/>
  <c r="P27" i="22"/>
  <c r="J27" i="22"/>
  <c r="I27" i="22"/>
  <c r="BK6" i="21" l="1"/>
  <c r="BJ6" i="21"/>
  <c r="BI6" i="21"/>
  <c r="BH6" i="21"/>
  <c r="BJ6" i="25"/>
  <c r="BG6" i="25"/>
  <c r="BH6" i="25"/>
  <c r="BI6" i="25"/>
  <c r="AM34" i="25"/>
  <c r="H66" i="23"/>
  <c r="AE66" i="23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64" i="15" s="1"/>
  <c r="O17" i="15"/>
  <c r="O65" i="15" s="1"/>
  <c r="O18" i="15"/>
  <c r="O66" i="15" s="1"/>
  <c r="O19" i="15"/>
  <c r="O20" i="15"/>
  <c r="O21" i="15"/>
  <c r="O22" i="15"/>
  <c r="O70" i="15" s="1"/>
  <c r="O23" i="15"/>
  <c r="O71" i="15" s="1"/>
  <c r="O24" i="15"/>
  <c r="O25" i="15"/>
  <c r="O73" i="15" s="1"/>
  <c r="O26" i="15"/>
  <c r="O27" i="15"/>
  <c r="O75" i="15" s="1"/>
  <c r="O28" i="15"/>
  <c r="O76" i="15" s="1"/>
  <c r="O29" i="15"/>
  <c r="O30" i="15"/>
  <c r="O31" i="15"/>
  <c r="O79" i="15" s="1"/>
  <c r="O32" i="15"/>
  <c r="O80" i="15" s="1"/>
  <c r="O33" i="15"/>
  <c r="O81" i="15" s="1"/>
  <c r="O34" i="15"/>
  <c r="O82" i="15" s="1"/>
  <c r="O35" i="15"/>
  <c r="O36" i="15"/>
  <c r="O37" i="15"/>
  <c r="O38" i="15"/>
  <c r="O86" i="15" s="1"/>
  <c r="O39" i="15"/>
  <c r="O87" i="15" s="1"/>
  <c r="O40" i="15"/>
  <c r="O41" i="15"/>
  <c r="O89" i="15" s="1"/>
  <c r="O42" i="15"/>
  <c r="O90" i="15" s="1"/>
  <c r="O43" i="15"/>
  <c r="O91" i="15" s="1"/>
  <c r="O44" i="15"/>
  <c r="O92" i="15" s="1"/>
  <c r="O45" i="15"/>
  <c r="O93" i="15" s="1"/>
  <c r="O46" i="15"/>
  <c r="O47" i="15"/>
  <c r="O95" i="15" s="1"/>
  <c r="O48" i="15"/>
  <c r="O96" i="15" s="1"/>
  <c r="O51" i="15"/>
  <c r="O52" i="15"/>
  <c r="O53" i="15"/>
  <c r="O54" i="15"/>
  <c r="O55" i="15"/>
  <c r="O103" i="15" s="1"/>
  <c r="O56" i="15"/>
  <c r="O104" i="15" s="1"/>
  <c r="O57" i="15"/>
  <c r="O105" i="15" s="1"/>
  <c r="O58" i="15"/>
  <c r="O106" i="15" s="1"/>
  <c r="O59" i="15"/>
  <c r="O107" i="15" s="1"/>
  <c r="O60" i="15"/>
  <c r="O108" i="15" s="1"/>
  <c r="O61" i="15"/>
  <c r="O109" i="15" s="1"/>
  <c r="O62" i="15"/>
  <c r="O110" i="15" s="1"/>
  <c r="O63" i="15"/>
  <c r="O67" i="15"/>
  <c r="O68" i="15"/>
  <c r="O69" i="15"/>
  <c r="O72" i="15"/>
  <c r="O74" i="15"/>
  <c r="O77" i="15"/>
  <c r="O78" i="15"/>
  <c r="O83" i="15"/>
  <c r="O84" i="15"/>
  <c r="O85" i="15"/>
  <c r="O88" i="15"/>
  <c r="O94" i="15"/>
  <c r="O99" i="15"/>
  <c r="O100" i="15"/>
  <c r="O101" i="15"/>
  <c r="O102" i="15"/>
  <c r="AE29" i="25"/>
  <c r="AB29" i="25"/>
  <c r="P29" i="25"/>
  <c r="H29" i="25"/>
  <c r="AM11" i="25"/>
  <c r="AE11" i="25"/>
  <c r="AB11" i="25"/>
  <c r="P11" i="25"/>
  <c r="H11" i="25"/>
  <c r="AE6" i="25"/>
  <c r="AB6" i="25"/>
  <c r="P6" i="25"/>
  <c r="H6" i="25"/>
  <c r="AM35" i="25"/>
  <c r="AE35" i="25"/>
  <c r="AB35" i="25"/>
  <c r="P35" i="25"/>
  <c r="H35" i="25"/>
  <c r="AM2" i="25"/>
  <c r="AE2" i="25"/>
  <c r="AB2" i="25"/>
  <c r="P2" i="25"/>
  <c r="H2" i="25"/>
  <c r="AM4" i="25"/>
  <c r="AE4" i="25"/>
  <c r="AB4" i="25"/>
  <c r="H4" i="25"/>
  <c r="AM10" i="25"/>
  <c r="AE10" i="25"/>
  <c r="AB10" i="25"/>
  <c r="P10" i="25"/>
  <c r="H10" i="25"/>
  <c r="AE3" i="25"/>
  <c r="AB3" i="25"/>
  <c r="P3" i="25"/>
  <c r="H3" i="25"/>
  <c r="AM33" i="25"/>
  <c r="AE33" i="25"/>
  <c r="AB33" i="25"/>
  <c r="P33" i="25"/>
  <c r="H33" i="25"/>
  <c r="AM19" i="25"/>
  <c r="AE19" i="25"/>
  <c r="P19" i="25"/>
  <c r="H19" i="25"/>
  <c r="AE16" i="25"/>
  <c r="AB16" i="25"/>
  <c r="P16" i="25"/>
  <c r="H16" i="25"/>
  <c r="AE34" i="25"/>
  <c r="AB34" i="25"/>
  <c r="P34" i="25"/>
  <c r="H34" i="25"/>
  <c r="AM28" i="25"/>
  <c r="AE28" i="25"/>
  <c r="P28" i="25"/>
  <c r="H28" i="25"/>
  <c r="AM24" i="25"/>
  <c r="AE24" i="25"/>
  <c r="AB24" i="25"/>
  <c r="P24" i="25"/>
  <c r="H24" i="25"/>
  <c r="AE30" i="25"/>
  <c r="AB30" i="25"/>
  <c r="H30" i="25"/>
  <c r="AM8" i="25"/>
  <c r="AE8" i="25"/>
  <c r="AB8" i="25"/>
  <c r="P8" i="25"/>
  <c r="H8" i="25"/>
  <c r="AM15" i="25"/>
  <c r="AE15" i="25"/>
  <c r="AB15" i="25"/>
  <c r="P15" i="25"/>
  <c r="H15" i="25"/>
  <c r="AM5" i="25"/>
  <c r="AE5" i="25"/>
  <c r="AB5" i="25"/>
  <c r="P5" i="25"/>
  <c r="H5" i="25"/>
  <c r="AE27" i="25"/>
  <c r="AB27" i="25"/>
  <c r="P27" i="25"/>
  <c r="H27" i="25"/>
  <c r="AM26" i="25"/>
  <c r="AE26" i="25"/>
  <c r="AB26" i="25"/>
  <c r="P26" i="25"/>
  <c r="H26" i="25"/>
  <c r="AM7" i="25"/>
  <c r="AE7" i="25"/>
  <c r="AB7" i="25"/>
  <c r="P7" i="25"/>
  <c r="H7" i="25"/>
  <c r="AE21" i="25"/>
  <c r="P21" i="25"/>
  <c r="H21" i="25"/>
  <c r="AE17" i="25"/>
  <c r="AB17" i="25"/>
  <c r="P17" i="25"/>
  <c r="H17" i="25"/>
  <c r="AM25" i="25"/>
  <c r="AE25" i="25"/>
  <c r="AB25" i="25"/>
  <c r="P25" i="25"/>
  <c r="H25" i="25"/>
  <c r="AM9" i="25"/>
  <c r="AE9" i="25"/>
  <c r="P9" i="25"/>
  <c r="H9" i="25"/>
  <c r="AM22" i="25"/>
  <c r="AE22" i="25"/>
  <c r="AB22" i="25"/>
  <c r="P22" i="25"/>
  <c r="H22" i="25"/>
  <c r="AE18" i="25"/>
  <c r="H18" i="25"/>
  <c r="AM23" i="25"/>
  <c r="AE23" i="25"/>
  <c r="P23" i="25"/>
  <c r="H23" i="25"/>
  <c r="AM20" i="25"/>
  <c r="AE20" i="25"/>
  <c r="AB20" i="25"/>
  <c r="P20" i="25"/>
  <c r="H20" i="25"/>
  <c r="AM31" i="25"/>
  <c r="AE31" i="25"/>
  <c r="AB31" i="25"/>
  <c r="P31" i="25"/>
  <c r="H31" i="25"/>
  <c r="AM36" i="25"/>
  <c r="AE36" i="25"/>
  <c r="AB36" i="25"/>
  <c r="H36" i="25"/>
  <c r="AM32" i="25"/>
  <c r="AE32" i="25"/>
  <c r="AB32" i="25"/>
  <c r="P32" i="25"/>
  <c r="H32" i="25"/>
  <c r="AM14" i="25"/>
  <c r="AE14" i="25"/>
  <c r="AB14" i="25"/>
  <c r="P14" i="25"/>
  <c r="H14" i="25"/>
  <c r="AE13" i="25"/>
  <c r="AB13" i="25"/>
  <c r="P13" i="25"/>
  <c r="H13" i="25"/>
  <c r="AM12" i="25"/>
  <c r="AE12" i="25"/>
  <c r="AB12" i="25"/>
  <c r="P12" i="25"/>
  <c r="H12" i="25"/>
  <c r="AE9" i="22"/>
  <c r="AB9" i="22"/>
  <c r="P9" i="22"/>
  <c r="H9" i="22"/>
  <c r="AM7" i="22"/>
  <c r="AE7" i="22"/>
  <c r="AB7" i="22"/>
  <c r="P7" i="22"/>
  <c r="H7" i="22"/>
  <c r="AM20" i="22"/>
  <c r="AE20" i="22"/>
  <c r="AB20" i="22"/>
  <c r="P20" i="22"/>
  <c r="H20" i="22"/>
  <c r="AE4" i="22"/>
  <c r="AB4" i="22"/>
  <c r="P4" i="22"/>
  <c r="H4" i="22"/>
  <c r="AM22" i="22"/>
  <c r="AE22" i="22"/>
  <c r="P22" i="22"/>
  <c r="H22" i="22"/>
  <c r="AM3" i="22"/>
  <c r="AE3" i="22"/>
  <c r="AB3" i="22"/>
  <c r="P3" i="22"/>
  <c r="H3" i="22"/>
  <c r="AM12" i="22"/>
  <c r="AE12" i="22"/>
  <c r="AB12" i="22"/>
  <c r="P12" i="22"/>
  <c r="H12" i="22"/>
  <c r="AE13" i="22"/>
  <c r="AB13" i="22"/>
  <c r="H13" i="22"/>
  <c r="AE14" i="22"/>
  <c r="AB14" i="22"/>
  <c r="P14" i="22"/>
  <c r="H14" i="22"/>
  <c r="AE10" i="22"/>
  <c r="AB10" i="22"/>
  <c r="P10" i="22"/>
  <c r="H10" i="22"/>
  <c r="AE17" i="22"/>
  <c r="AB17" i="22"/>
  <c r="P17" i="22"/>
  <c r="H17" i="22"/>
  <c r="AE23" i="22"/>
  <c r="AB23" i="22"/>
  <c r="P23" i="22"/>
  <c r="H23" i="22"/>
  <c r="AM16" i="22"/>
  <c r="AE16" i="22"/>
  <c r="AB16" i="22"/>
  <c r="H16" i="22"/>
  <c r="AM2" i="22"/>
  <c r="AE2" i="22"/>
  <c r="AB2" i="22"/>
  <c r="P2" i="22"/>
  <c r="H2" i="22"/>
  <c r="AE8" i="22"/>
  <c r="AB8" i="22"/>
  <c r="P8" i="22"/>
  <c r="H8" i="22"/>
  <c r="AM11" i="22"/>
  <c r="AE11" i="22"/>
  <c r="AB11" i="22"/>
  <c r="P11" i="22"/>
  <c r="H11" i="22"/>
  <c r="AE15" i="22"/>
  <c r="AB15" i="22"/>
  <c r="P15" i="22"/>
  <c r="H15" i="22"/>
  <c r="AM18" i="22"/>
  <c r="AE18" i="22"/>
  <c r="AB18" i="22"/>
  <c r="P18" i="22"/>
  <c r="H18" i="22"/>
  <c r="AM6" i="22"/>
  <c r="AE6" i="22"/>
  <c r="AB6" i="22"/>
  <c r="P6" i="22"/>
  <c r="H6" i="22"/>
  <c r="AM21" i="22"/>
  <c r="AE21" i="22"/>
  <c r="AB21" i="22"/>
  <c r="H21" i="22"/>
  <c r="AE19" i="22"/>
  <c r="AB19" i="22"/>
  <c r="P19" i="22"/>
  <c r="H19" i="22"/>
  <c r="AM5" i="22"/>
  <c r="AE5" i="22"/>
  <c r="AB5" i="22"/>
  <c r="P5" i="22"/>
  <c r="H5" i="22"/>
  <c r="AM25" i="24"/>
  <c r="AE25" i="24"/>
  <c r="AB25" i="24"/>
  <c r="P25" i="24"/>
  <c r="H25" i="24"/>
  <c r="AM24" i="24"/>
  <c r="AE24" i="24"/>
  <c r="AB24" i="24"/>
  <c r="P24" i="24"/>
  <c r="H24" i="24"/>
  <c r="AM23" i="24"/>
  <c r="AE23" i="24"/>
  <c r="AB23" i="24"/>
  <c r="P23" i="24"/>
  <c r="H23" i="24"/>
  <c r="AE22" i="24"/>
  <c r="AB22" i="24"/>
  <c r="P22" i="24"/>
  <c r="H22" i="24"/>
  <c r="AM21" i="24"/>
  <c r="AE21" i="24"/>
  <c r="AB21" i="24"/>
  <c r="H21" i="24"/>
  <c r="AM20" i="24"/>
  <c r="AE20" i="24"/>
  <c r="AB20" i="24"/>
  <c r="P20" i="24"/>
  <c r="H20" i="24"/>
  <c r="AM19" i="24"/>
  <c r="AE19" i="24"/>
  <c r="AB19" i="24"/>
  <c r="P19" i="24"/>
  <c r="H19" i="24"/>
  <c r="AM18" i="24"/>
  <c r="AE18" i="24"/>
  <c r="AB18" i="24"/>
  <c r="P18" i="24"/>
  <c r="H18" i="24"/>
  <c r="AM17" i="24"/>
  <c r="AE17" i="24"/>
  <c r="AB17" i="24"/>
  <c r="P17" i="24"/>
  <c r="H17" i="24"/>
  <c r="AM16" i="24"/>
  <c r="AE16" i="24"/>
  <c r="P16" i="24"/>
  <c r="H16" i="24"/>
  <c r="AE15" i="24"/>
  <c r="AB15" i="24"/>
  <c r="P15" i="24"/>
  <c r="H15" i="24"/>
  <c r="AM14" i="24"/>
  <c r="AE14" i="24"/>
  <c r="AB14" i="24"/>
  <c r="P14" i="24"/>
  <c r="H14" i="24"/>
  <c r="AM13" i="24"/>
  <c r="AE13" i="24"/>
  <c r="AB13" i="24"/>
  <c r="P13" i="24"/>
  <c r="H13" i="24"/>
  <c r="AM12" i="24"/>
  <c r="AE12" i="24"/>
  <c r="AB12" i="24"/>
  <c r="P12" i="24"/>
  <c r="H12" i="24"/>
  <c r="AM11" i="24"/>
  <c r="AE11" i="24"/>
  <c r="AB11" i="24"/>
  <c r="P11" i="24"/>
  <c r="H11" i="24"/>
  <c r="AM10" i="24"/>
  <c r="AE10" i="24"/>
  <c r="AB10" i="24"/>
  <c r="P10" i="24"/>
  <c r="H10" i="24"/>
  <c r="AM9" i="24"/>
  <c r="AE9" i="24"/>
  <c r="AB9" i="24"/>
  <c r="P9" i="24"/>
  <c r="H9" i="24"/>
  <c r="AE8" i="24"/>
  <c r="AB8" i="24"/>
  <c r="P8" i="24"/>
  <c r="H8" i="24"/>
  <c r="AM7" i="24"/>
  <c r="AE7" i="24"/>
  <c r="AB7" i="24"/>
  <c r="P7" i="24"/>
  <c r="H7" i="24"/>
  <c r="AE6" i="24"/>
  <c r="AB6" i="24"/>
  <c r="P6" i="24"/>
  <c r="H6" i="24"/>
  <c r="AE5" i="24"/>
  <c r="AB5" i="24"/>
  <c r="P5" i="24"/>
  <c r="H5" i="24"/>
  <c r="AE4" i="24"/>
  <c r="AB4" i="24"/>
  <c r="P4" i="24"/>
  <c r="H4" i="24"/>
  <c r="AM3" i="24"/>
  <c r="AE3" i="24"/>
  <c r="AB3" i="24"/>
  <c r="P3" i="24"/>
  <c r="H3" i="24"/>
  <c r="AE2" i="24"/>
  <c r="P2" i="24"/>
  <c r="H2" i="24"/>
  <c r="AE65" i="23"/>
  <c r="AB65" i="23"/>
  <c r="P65" i="23"/>
  <c r="H65" i="23"/>
  <c r="AE64" i="23"/>
  <c r="P64" i="23"/>
  <c r="H64" i="23"/>
  <c r="AE63" i="23"/>
  <c r="AB63" i="23"/>
  <c r="P63" i="23"/>
  <c r="H63" i="23"/>
  <c r="AM62" i="23"/>
  <c r="AE62" i="23"/>
  <c r="AB62" i="23"/>
  <c r="P62" i="23"/>
  <c r="H62" i="23"/>
  <c r="AM61" i="23"/>
  <c r="AE61" i="23"/>
  <c r="AB61" i="23"/>
  <c r="P61" i="23"/>
  <c r="H61" i="23"/>
  <c r="AM60" i="23"/>
  <c r="AE60" i="23"/>
  <c r="P60" i="23"/>
  <c r="H60" i="23"/>
  <c r="AE59" i="23"/>
  <c r="AB59" i="23"/>
  <c r="P59" i="23"/>
  <c r="H59" i="23"/>
  <c r="AM58" i="23"/>
  <c r="AE58" i="23"/>
  <c r="AB58" i="23"/>
  <c r="P58" i="23"/>
  <c r="H58" i="23"/>
  <c r="AM57" i="23"/>
  <c r="AE57" i="23"/>
  <c r="P57" i="23"/>
  <c r="H57" i="23"/>
  <c r="AM56" i="23"/>
  <c r="AE56" i="23"/>
  <c r="AB56" i="23"/>
  <c r="P56" i="23"/>
  <c r="H56" i="23"/>
  <c r="AM55" i="23"/>
  <c r="AE55" i="23"/>
  <c r="AB55" i="23"/>
  <c r="H55" i="23"/>
  <c r="AM54" i="23"/>
  <c r="AE54" i="23"/>
  <c r="AB54" i="23"/>
  <c r="P54" i="23"/>
  <c r="H54" i="23"/>
  <c r="AE53" i="23"/>
  <c r="AB53" i="23"/>
  <c r="P53" i="23"/>
  <c r="H53" i="23"/>
  <c r="AM52" i="23"/>
  <c r="AE52" i="23"/>
  <c r="AB52" i="23"/>
  <c r="P52" i="23"/>
  <c r="H52" i="23"/>
  <c r="AE51" i="23"/>
  <c r="P51" i="23"/>
  <c r="H51" i="23"/>
  <c r="AE50" i="23"/>
  <c r="AB50" i="23"/>
  <c r="P50" i="23"/>
  <c r="H50" i="23"/>
  <c r="AM49" i="23"/>
  <c r="AE49" i="23"/>
  <c r="AB49" i="23"/>
  <c r="P49" i="23"/>
  <c r="H49" i="23"/>
  <c r="AM48" i="23"/>
  <c r="AE48" i="23"/>
  <c r="AB48" i="23"/>
  <c r="P48" i="23"/>
  <c r="H48" i="23"/>
  <c r="AM47" i="23"/>
  <c r="AE47" i="23"/>
  <c r="P47" i="23"/>
  <c r="H47" i="23"/>
  <c r="AM46" i="23"/>
  <c r="AE46" i="23"/>
  <c r="AB46" i="23"/>
  <c r="P46" i="23"/>
  <c r="H46" i="23"/>
  <c r="AM45" i="23"/>
  <c r="AE45" i="23"/>
  <c r="AB45" i="23"/>
  <c r="P45" i="23"/>
  <c r="H45" i="23"/>
  <c r="AM44" i="23"/>
  <c r="AE44" i="23"/>
  <c r="AB44" i="23"/>
  <c r="H44" i="23"/>
  <c r="AM43" i="23"/>
  <c r="AE43" i="23"/>
  <c r="AB43" i="23"/>
  <c r="P43" i="23"/>
  <c r="H43" i="23"/>
  <c r="AM42" i="23"/>
  <c r="AE42" i="23"/>
  <c r="AB42" i="23"/>
  <c r="P42" i="23"/>
  <c r="H42" i="23"/>
  <c r="AM41" i="23"/>
  <c r="AE41" i="23"/>
  <c r="AB41" i="23"/>
  <c r="P41" i="23"/>
  <c r="H41" i="23"/>
  <c r="AM40" i="23"/>
  <c r="AE40" i="23"/>
  <c r="AB40" i="23"/>
  <c r="P40" i="23"/>
  <c r="H40" i="23"/>
  <c r="AM39" i="23"/>
  <c r="AE39" i="23"/>
  <c r="AB39" i="23"/>
  <c r="P39" i="23"/>
  <c r="H39" i="23"/>
  <c r="AM38" i="23"/>
  <c r="AE38" i="23"/>
  <c r="P38" i="23"/>
  <c r="H38" i="23"/>
  <c r="AM37" i="23"/>
  <c r="AE37" i="23"/>
  <c r="AB37" i="23"/>
  <c r="P37" i="23"/>
  <c r="H37" i="23"/>
  <c r="AM36" i="23"/>
  <c r="AE36" i="23"/>
  <c r="AB36" i="23"/>
  <c r="P36" i="23"/>
  <c r="H36" i="23"/>
  <c r="AE35" i="23"/>
  <c r="P35" i="23"/>
  <c r="H35" i="23"/>
  <c r="AM34" i="23"/>
  <c r="AE34" i="23"/>
  <c r="AB34" i="23"/>
  <c r="P34" i="23"/>
  <c r="H34" i="23"/>
  <c r="AM33" i="23"/>
  <c r="AE33" i="23"/>
  <c r="AB33" i="23"/>
  <c r="P33" i="23"/>
  <c r="H33" i="23"/>
  <c r="AM32" i="23"/>
  <c r="AE32" i="23"/>
  <c r="AB32" i="23"/>
  <c r="P32" i="23"/>
  <c r="H32" i="23"/>
  <c r="AM31" i="23"/>
  <c r="AE31" i="23"/>
  <c r="AB31" i="23"/>
  <c r="P31" i="23"/>
  <c r="H31" i="23"/>
  <c r="AM30" i="23"/>
  <c r="AE30" i="23"/>
  <c r="AB30" i="23"/>
  <c r="P30" i="23"/>
  <c r="H30" i="23"/>
  <c r="AM29" i="23"/>
  <c r="AE29" i="23"/>
  <c r="AB29" i="23"/>
  <c r="P29" i="23"/>
  <c r="H29" i="23"/>
  <c r="AM28" i="23"/>
  <c r="AE28" i="23"/>
  <c r="AB28" i="23"/>
  <c r="P28" i="23"/>
  <c r="H28" i="23"/>
  <c r="AE27" i="23"/>
  <c r="AB27" i="23"/>
  <c r="P27" i="23"/>
  <c r="H27" i="23"/>
  <c r="AM26" i="23"/>
  <c r="AE26" i="23"/>
  <c r="AB26" i="23"/>
  <c r="P26" i="23"/>
  <c r="H26" i="23"/>
  <c r="AM25" i="23"/>
  <c r="AE25" i="23"/>
  <c r="AB25" i="23"/>
  <c r="P25" i="23"/>
  <c r="H25" i="23"/>
  <c r="AE24" i="23"/>
  <c r="AB24" i="23"/>
  <c r="P24" i="23"/>
  <c r="H24" i="23"/>
  <c r="AM23" i="23"/>
  <c r="AE23" i="23"/>
  <c r="P23" i="23"/>
  <c r="H23" i="23"/>
  <c r="AM22" i="23"/>
  <c r="AE22" i="23"/>
  <c r="AB22" i="23"/>
  <c r="P22" i="23"/>
  <c r="H22" i="23"/>
  <c r="AM21" i="23"/>
  <c r="AE21" i="23"/>
  <c r="AB21" i="23"/>
  <c r="P21" i="23"/>
  <c r="H21" i="23"/>
  <c r="AE20" i="23"/>
  <c r="AB20" i="23"/>
  <c r="P20" i="23"/>
  <c r="H20" i="23"/>
  <c r="AE19" i="23"/>
  <c r="P19" i="23"/>
  <c r="H19" i="23"/>
  <c r="AE18" i="23"/>
  <c r="AB18" i="23"/>
  <c r="P18" i="23"/>
  <c r="H18" i="23"/>
  <c r="AM17" i="23"/>
  <c r="AE17" i="23"/>
  <c r="AB17" i="23"/>
  <c r="P17" i="23"/>
  <c r="H17" i="23"/>
  <c r="AM16" i="23"/>
  <c r="AE16" i="23"/>
  <c r="AB16" i="23"/>
  <c r="P16" i="23"/>
  <c r="H16" i="23"/>
  <c r="AM15" i="23"/>
  <c r="AE15" i="23"/>
  <c r="AB15" i="23"/>
  <c r="P15" i="23"/>
  <c r="H15" i="23"/>
  <c r="AE14" i="23"/>
  <c r="AB14" i="23"/>
  <c r="P14" i="23"/>
  <c r="H14" i="23"/>
  <c r="AM13" i="23"/>
  <c r="AE13" i="23"/>
  <c r="AB13" i="23"/>
  <c r="P13" i="23"/>
  <c r="H13" i="23"/>
  <c r="AE12" i="23"/>
  <c r="P12" i="23"/>
  <c r="H12" i="23"/>
  <c r="AM11" i="23"/>
  <c r="AE11" i="23"/>
  <c r="AB11" i="23"/>
  <c r="P11" i="23"/>
  <c r="H11" i="23"/>
  <c r="AE10" i="23"/>
  <c r="AB10" i="23"/>
  <c r="P10" i="23"/>
  <c r="H10" i="23"/>
  <c r="AM9" i="23"/>
  <c r="AE9" i="23"/>
  <c r="P9" i="23"/>
  <c r="H9" i="23"/>
  <c r="AM8" i="23"/>
  <c r="AE8" i="23"/>
  <c r="AB8" i="23"/>
  <c r="P8" i="23"/>
  <c r="H8" i="23"/>
  <c r="AM7" i="23"/>
  <c r="AE7" i="23"/>
  <c r="AB7" i="23"/>
  <c r="H7" i="23"/>
  <c r="AM6" i="23"/>
  <c r="AE6" i="23"/>
  <c r="AB6" i="23"/>
  <c r="H6" i="23"/>
  <c r="AM5" i="23"/>
  <c r="AE5" i="23"/>
  <c r="AB5" i="23"/>
  <c r="H5" i="23"/>
  <c r="AE4" i="23"/>
  <c r="AB4" i="23"/>
  <c r="P4" i="23"/>
  <c r="H4" i="23"/>
  <c r="AE3" i="23"/>
  <c r="AB3" i="23"/>
  <c r="H3" i="23"/>
  <c r="AM2" i="23"/>
  <c r="AE2" i="23"/>
  <c r="AB2" i="23"/>
  <c r="P2" i="23"/>
  <c r="H2" i="23"/>
  <c r="AE27" i="22" l="1"/>
  <c r="H27" i="22"/>
  <c r="AY21" i="16"/>
  <c r="BJ6" i="16"/>
  <c r="X62" i="14"/>
  <c r="X63" i="14"/>
  <c r="X59" i="14"/>
  <c r="X60" i="14"/>
  <c r="X51" i="14"/>
  <c r="X52" i="14"/>
  <c r="Y57" i="14"/>
  <c r="X57" i="14"/>
  <c r="X56" i="14"/>
  <c r="X55" i="14"/>
  <c r="X53" i="14"/>
  <c r="Y51" i="14"/>
  <c r="AE10" i="21"/>
  <c r="AB10" i="21"/>
  <c r="P10" i="21"/>
  <c r="H10" i="21"/>
  <c r="AE7" i="21"/>
  <c r="AB7" i="21"/>
  <c r="P7" i="21"/>
  <c r="H7" i="21"/>
  <c r="AE8" i="21"/>
  <c r="AB8" i="21"/>
  <c r="P8" i="21"/>
  <c r="H8" i="21"/>
  <c r="AE15" i="21"/>
  <c r="AB15" i="21"/>
  <c r="P15" i="21"/>
  <c r="H15" i="21"/>
  <c r="AE9" i="21"/>
  <c r="AB9" i="21"/>
  <c r="P9" i="21"/>
  <c r="H9" i="21"/>
  <c r="AE19" i="21"/>
  <c r="AB19" i="21"/>
  <c r="P19" i="21"/>
  <c r="H19" i="21"/>
  <c r="AM6" i="21"/>
  <c r="AE6" i="21"/>
  <c r="AB6" i="21"/>
  <c r="P6" i="21"/>
  <c r="H6" i="21"/>
  <c r="AM16" i="21"/>
  <c r="AE16" i="21"/>
  <c r="AB16" i="21"/>
  <c r="H16" i="21"/>
  <c r="AM4" i="21"/>
  <c r="AE4" i="21"/>
  <c r="AB4" i="21"/>
  <c r="P4" i="21"/>
  <c r="H4" i="21"/>
  <c r="AM5" i="21"/>
  <c r="AE5" i="21"/>
  <c r="AB5" i="21"/>
  <c r="P5" i="21"/>
  <c r="H5" i="21"/>
  <c r="AM13" i="21"/>
  <c r="AE13" i="21"/>
  <c r="AB13" i="21"/>
  <c r="P13" i="21"/>
  <c r="H13" i="21"/>
  <c r="AE17" i="21"/>
  <c r="P17" i="21"/>
  <c r="H17" i="21"/>
  <c r="AM18" i="21"/>
  <c r="AE18" i="21"/>
  <c r="AB18" i="21"/>
  <c r="P18" i="21"/>
  <c r="H18" i="21"/>
  <c r="AM14" i="21"/>
  <c r="AE14" i="21"/>
  <c r="AB14" i="21"/>
  <c r="P14" i="21"/>
  <c r="H14" i="21"/>
  <c r="AE11" i="21"/>
  <c r="AB11" i="21"/>
  <c r="P11" i="21"/>
  <c r="H11" i="21"/>
  <c r="AE12" i="21"/>
  <c r="AB12" i="21"/>
  <c r="P12" i="21"/>
  <c r="H12" i="21"/>
  <c r="AM3" i="21"/>
  <c r="AE3" i="21"/>
  <c r="P3" i="21"/>
  <c r="H3" i="21"/>
  <c r="AM2" i="21"/>
  <c r="AE2" i="21"/>
  <c r="AB2" i="21"/>
  <c r="P2" i="21"/>
  <c r="H2" i="21"/>
  <c r="AZ3" i="16"/>
  <c r="AM19" i="16"/>
  <c r="AM26" i="16"/>
  <c r="AE26" i="16"/>
  <c r="AB26" i="16"/>
  <c r="P26" i="16"/>
  <c r="H26" i="16"/>
  <c r="AM10" i="16"/>
  <c r="AE10" i="16"/>
  <c r="AB10" i="16"/>
  <c r="P10" i="16"/>
  <c r="H10" i="16"/>
  <c r="AE12" i="16"/>
  <c r="AB12" i="16"/>
  <c r="H12" i="16"/>
  <c r="AM25" i="16"/>
  <c r="AE25" i="16"/>
  <c r="AB25" i="16"/>
  <c r="P25" i="16"/>
  <c r="H25" i="16"/>
  <c r="AM8" i="16"/>
  <c r="AE8" i="16"/>
  <c r="AB8" i="16"/>
  <c r="P8" i="16"/>
  <c r="H8" i="16"/>
  <c r="AM47" i="16"/>
  <c r="AE47" i="16"/>
  <c r="AB47" i="16"/>
  <c r="P47" i="16"/>
  <c r="H47" i="16"/>
  <c r="AM13" i="16"/>
  <c r="AE13" i="16"/>
  <c r="AB13" i="16"/>
  <c r="P13" i="16"/>
  <c r="H13" i="16"/>
  <c r="AM51" i="16"/>
  <c r="AE51" i="16"/>
  <c r="AB51" i="16"/>
  <c r="P51" i="16"/>
  <c r="H51" i="16"/>
  <c r="AM9" i="16"/>
  <c r="AE9" i="16"/>
  <c r="P9" i="16"/>
  <c r="H9" i="16"/>
  <c r="AM4" i="16"/>
  <c r="AE4" i="16"/>
  <c r="AB4" i="16"/>
  <c r="H4" i="16"/>
  <c r="AM40" i="16"/>
  <c r="AE40" i="16"/>
  <c r="AB40" i="16"/>
  <c r="P40" i="16"/>
  <c r="H40" i="16"/>
  <c r="AM30" i="16"/>
  <c r="AE30" i="16"/>
  <c r="AB30" i="16"/>
  <c r="P30" i="16"/>
  <c r="H30" i="16"/>
  <c r="AM29" i="16"/>
  <c r="AE29" i="16"/>
  <c r="AB29" i="16"/>
  <c r="P29" i="16"/>
  <c r="H29" i="16"/>
  <c r="AE11" i="16"/>
  <c r="P11" i="16"/>
  <c r="H11" i="16"/>
  <c r="AM35" i="16"/>
  <c r="AE35" i="16"/>
  <c r="AB35" i="16"/>
  <c r="P35" i="16"/>
  <c r="H35" i="16"/>
  <c r="AM48" i="16"/>
  <c r="AE48" i="16"/>
  <c r="AB48" i="16"/>
  <c r="P48" i="16"/>
  <c r="H48" i="16"/>
  <c r="AE60" i="16"/>
  <c r="AB60" i="16"/>
  <c r="P60" i="16"/>
  <c r="H60" i="16"/>
  <c r="AM18" i="16"/>
  <c r="AE18" i="16"/>
  <c r="AB18" i="16"/>
  <c r="P18" i="16"/>
  <c r="H18" i="16"/>
  <c r="AM16" i="16"/>
  <c r="AE16" i="16"/>
  <c r="AB16" i="16"/>
  <c r="P16" i="16"/>
  <c r="H16" i="16"/>
  <c r="AE46" i="16"/>
  <c r="AB46" i="16"/>
  <c r="P46" i="16"/>
  <c r="H46" i="16"/>
  <c r="AM54" i="16"/>
  <c r="AE54" i="16"/>
  <c r="AB54" i="16"/>
  <c r="P54" i="16"/>
  <c r="H54" i="16"/>
  <c r="AM31" i="16"/>
  <c r="AE31" i="16"/>
  <c r="AB31" i="16"/>
  <c r="P31" i="16"/>
  <c r="H31" i="16"/>
  <c r="AM36" i="16"/>
  <c r="AE36" i="16"/>
  <c r="AB36" i="16"/>
  <c r="P36" i="16"/>
  <c r="H36" i="16"/>
  <c r="AM33" i="16"/>
  <c r="AE33" i="16"/>
  <c r="AB33" i="16"/>
  <c r="P33" i="16"/>
  <c r="H33" i="16"/>
  <c r="AM34" i="16"/>
  <c r="AE34" i="16"/>
  <c r="AB34" i="16"/>
  <c r="P34" i="16"/>
  <c r="H34" i="16"/>
  <c r="AM24" i="16"/>
  <c r="AE24" i="16"/>
  <c r="AB24" i="16"/>
  <c r="P24" i="16"/>
  <c r="H24" i="16"/>
  <c r="AE43" i="16"/>
  <c r="AB43" i="16"/>
  <c r="P43" i="16"/>
  <c r="H43" i="16"/>
  <c r="AM53" i="16"/>
  <c r="AE53" i="16"/>
  <c r="AB53" i="16"/>
  <c r="P53" i="16"/>
  <c r="H53" i="16"/>
  <c r="AE49" i="16"/>
  <c r="AB49" i="16"/>
  <c r="P49" i="16"/>
  <c r="H49" i="16"/>
  <c r="AM28" i="16"/>
  <c r="AE28" i="16"/>
  <c r="AB28" i="16"/>
  <c r="P28" i="16"/>
  <c r="H28" i="16"/>
  <c r="AE22" i="16"/>
  <c r="AB22" i="16"/>
  <c r="P22" i="16"/>
  <c r="H22" i="16"/>
  <c r="AE21" i="16"/>
  <c r="AB21" i="16"/>
  <c r="P21" i="16"/>
  <c r="H21" i="16"/>
  <c r="AM41" i="16"/>
  <c r="AE41" i="16"/>
  <c r="P41" i="16"/>
  <c r="H41" i="16"/>
  <c r="AM17" i="16"/>
  <c r="AE17" i="16"/>
  <c r="AB17" i="16"/>
  <c r="P17" i="16"/>
  <c r="H17" i="16"/>
  <c r="AM2" i="16"/>
  <c r="AE2" i="16"/>
  <c r="AB2" i="16"/>
  <c r="P2" i="16"/>
  <c r="H2" i="16"/>
  <c r="AE44" i="16"/>
  <c r="AB44" i="16"/>
  <c r="P44" i="16"/>
  <c r="H44" i="16"/>
  <c r="AE37" i="16"/>
  <c r="AB37" i="16"/>
  <c r="P37" i="16"/>
  <c r="H37" i="16"/>
  <c r="AE59" i="16"/>
  <c r="P59" i="16"/>
  <c r="H59" i="16"/>
  <c r="AE42" i="16"/>
  <c r="AB42" i="16"/>
  <c r="P42" i="16"/>
  <c r="H42" i="16"/>
  <c r="AM3" i="16"/>
  <c r="AE3" i="16"/>
  <c r="AB3" i="16"/>
  <c r="P3" i="16"/>
  <c r="H3" i="16"/>
  <c r="AM55" i="16"/>
  <c r="AE55" i="16"/>
  <c r="AB55" i="16"/>
  <c r="P55" i="16"/>
  <c r="H55" i="16"/>
  <c r="AM27" i="16"/>
  <c r="AE27" i="16"/>
  <c r="AB27" i="16"/>
  <c r="P27" i="16"/>
  <c r="H27" i="16"/>
  <c r="AE38" i="16"/>
  <c r="AB38" i="16"/>
  <c r="P38" i="16"/>
  <c r="H38" i="16"/>
  <c r="AM58" i="16"/>
  <c r="AE58" i="16"/>
  <c r="AB58" i="16"/>
  <c r="P58" i="16"/>
  <c r="H58" i="16"/>
  <c r="AE39" i="16"/>
  <c r="P39" i="16"/>
  <c r="H39" i="16"/>
  <c r="AE19" i="16"/>
  <c r="AB19" i="16"/>
  <c r="P19" i="16"/>
  <c r="H19" i="16"/>
  <c r="AE20" i="16"/>
  <c r="AB20" i="16"/>
  <c r="P20" i="16"/>
  <c r="H20" i="16"/>
  <c r="AM5" i="16"/>
  <c r="AE5" i="16"/>
  <c r="AB5" i="16"/>
  <c r="P5" i="16"/>
  <c r="H5" i="16"/>
  <c r="AM15" i="16"/>
  <c r="AE15" i="16"/>
  <c r="P15" i="16"/>
  <c r="H15" i="16"/>
  <c r="AM23" i="16"/>
  <c r="AE23" i="16"/>
  <c r="AB23" i="16"/>
  <c r="P23" i="16"/>
  <c r="H23" i="16"/>
  <c r="AM56" i="16"/>
  <c r="AE56" i="16"/>
  <c r="AB56" i="16"/>
  <c r="H56" i="16"/>
  <c r="AM32" i="16"/>
  <c r="AE32" i="16"/>
  <c r="AB32" i="16"/>
  <c r="H32" i="16"/>
  <c r="AM52" i="16"/>
  <c r="AE52" i="16"/>
  <c r="AB52" i="16"/>
  <c r="H52" i="16"/>
  <c r="AE45" i="16"/>
  <c r="AB45" i="16"/>
  <c r="P45" i="16"/>
  <c r="H45" i="16"/>
  <c r="AE50" i="16"/>
  <c r="AB50" i="16"/>
  <c r="H50" i="16"/>
  <c r="AM57" i="16"/>
  <c r="AE57" i="16"/>
  <c r="AB57" i="16"/>
  <c r="P57" i="16"/>
  <c r="H57" i="16"/>
  <c r="AM14" i="16"/>
  <c r="AE14" i="16"/>
  <c r="AB14" i="16"/>
  <c r="P14" i="16"/>
  <c r="H14" i="16"/>
  <c r="AE6" i="16"/>
  <c r="P6" i="16"/>
  <c r="H6" i="16"/>
  <c r="AM7" i="16"/>
  <c r="AE7" i="16"/>
  <c r="AB7" i="16"/>
  <c r="P7" i="16"/>
  <c r="H7" i="16"/>
  <c r="C71" i="14"/>
  <c r="C68" i="14"/>
  <c r="C69" i="14"/>
  <c r="C70" i="14"/>
  <c r="C74" i="14"/>
  <c r="C75" i="14"/>
  <c r="C76" i="14"/>
  <c r="C77" i="14"/>
  <c r="C78" i="14"/>
  <c r="C79" i="14"/>
  <c r="C67" i="14"/>
  <c r="B63" i="14"/>
  <c r="B62" i="14"/>
  <c r="B61" i="14"/>
  <c r="J116" i="11"/>
  <c r="I115" i="11"/>
  <c r="B50" i="14"/>
  <c r="B49" i="14"/>
  <c r="B53" i="14"/>
  <c r="B54" i="14"/>
  <c r="F38" i="14"/>
  <c r="F37" i="14"/>
  <c r="B39" i="14"/>
  <c r="B29" i="14"/>
  <c r="B28" i="14"/>
  <c r="F39" i="14"/>
  <c r="F36" i="14"/>
  <c r="F35" i="14"/>
  <c r="F34" i="14"/>
  <c r="B38" i="14"/>
  <c r="B37" i="14"/>
  <c r="B36" i="14"/>
  <c r="B27" i="14"/>
  <c r="B20" i="14"/>
  <c r="B19" i="14"/>
  <c r="B18" i="14"/>
  <c r="AM80" i="13" l="1"/>
  <c r="AM15" i="13"/>
  <c r="AM28" i="13"/>
  <c r="AM56" i="13"/>
  <c r="AM77" i="13"/>
  <c r="AM32" i="13"/>
  <c r="AM89" i="13"/>
  <c r="AM79" i="13"/>
  <c r="AM65" i="13"/>
  <c r="AM43" i="13"/>
  <c r="AM11" i="13"/>
  <c r="AM87" i="13"/>
  <c r="AM16" i="13"/>
  <c r="AM18" i="13"/>
  <c r="AM96" i="13"/>
  <c r="AM14" i="13"/>
  <c r="AM38" i="13"/>
  <c r="AM113" i="13"/>
  <c r="AM44" i="13"/>
  <c r="AM72" i="13"/>
  <c r="AM98" i="13"/>
  <c r="AM67" i="13"/>
  <c r="AB96" i="13"/>
  <c r="AB14" i="13"/>
  <c r="AB80" i="13"/>
  <c r="AB38" i="13"/>
  <c r="P96" i="13"/>
  <c r="P14" i="13"/>
  <c r="P80" i="13"/>
  <c r="P38" i="13"/>
  <c r="AE96" i="13"/>
  <c r="H96" i="13"/>
  <c r="AE14" i="13"/>
  <c r="H14" i="13"/>
  <c r="AE80" i="13"/>
  <c r="H80" i="13"/>
  <c r="AE38" i="13"/>
  <c r="H38" i="13"/>
  <c r="AD97" i="11"/>
  <c r="H97" i="11"/>
  <c r="AD14" i="11"/>
  <c r="H14" i="11"/>
  <c r="AD81" i="11"/>
  <c r="H81" i="11"/>
  <c r="AD38" i="11"/>
  <c r="H38" i="11"/>
  <c r="C29" i="14" l="1"/>
  <c r="C18" i="14"/>
  <c r="AM66" i="13" l="1"/>
  <c r="AM24" i="13"/>
  <c r="AM5" i="13"/>
  <c r="AM27" i="13"/>
  <c r="AM94" i="13"/>
  <c r="AM20" i="13"/>
  <c r="AM101" i="13"/>
  <c r="AM71" i="13"/>
  <c r="AM37" i="13"/>
  <c r="AM46" i="13"/>
  <c r="AM4" i="13"/>
  <c r="AM102" i="13"/>
  <c r="AM58" i="13"/>
  <c r="AM55" i="13"/>
  <c r="AM34" i="13"/>
  <c r="AM21" i="13"/>
  <c r="AM19" i="13"/>
  <c r="AM3" i="13"/>
  <c r="AM68" i="13"/>
  <c r="AM100" i="13"/>
  <c r="AM97" i="13"/>
  <c r="AM95" i="13"/>
  <c r="AM93" i="13"/>
  <c r="AM26" i="13"/>
  <c r="AM23" i="13"/>
  <c r="AM105" i="13"/>
  <c r="AM75" i="13"/>
  <c r="AM92" i="13"/>
  <c r="AM25" i="13"/>
  <c r="AM49" i="13"/>
  <c r="AM29" i="13"/>
  <c r="AM6" i="13"/>
  <c r="AM52" i="13"/>
  <c r="AM70" i="13"/>
  <c r="AM50" i="13"/>
  <c r="AM90" i="13"/>
  <c r="AM109" i="13"/>
  <c r="AM106" i="13"/>
  <c r="AM42" i="13"/>
  <c r="AM64" i="13"/>
  <c r="AM84" i="13"/>
  <c r="AM54" i="13"/>
  <c r="AM30" i="13"/>
  <c r="AM110" i="13"/>
  <c r="AM88" i="13"/>
  <c r="AM53" i="13"/>
  <c r="AM107" i="13"/>
  <c r="AM57" i="13"/>
  <c r="AM9" i="13"/>
  <c r="AM81" i="13"/>
  <c r="AM99" i="13"/>
  <c r="AM12" i="13"/>
  <c r="AM108" i="13"/>
  <c r="AM63" i="13"/>
  <c r="AB23" i="13"/>
  <c r="AB113" i="13"/>
  <c r="AB93" i="13"/>
  <c r="AB48" i="13"/>
  <c r="AB13" i="13"/>
  <c r="AB55" i="13"/>
  <c r="AB42" i="13"/>
  <c r="AB102" i="13"/>
  <c r="AB100" i="13"/>
  <c r="AB68" i="13"/>
  <c r="AB95" i="13"/>
  <c r="AB24" i="13"/>
  <c r="AB17" i="13"/>
  <c r="AB6" i="13"/>
  <c r="AB70" i="13"/>
  <c r="AB19" i="13"/>
  <c r="AB53" i="13"/>
  <c r="AB111" i="13"/>
  <c r="AB52" i="13"/>
  <c r="AB57" i="13"/>
  <c r="AB9" i="13"/>
  <c r="AB107" i="13"/>
  <c r="AB69" i="13"/>
  <c r="AB54" i="13"/>
  <c r="AB73" i="13"/>
  <c r="AB81" i="13"/>
  <c r="AB32" i="13"/>
  <c r="AB34" i="13"/>
  <c r="AB21" i="13"/>
  <c r="AB8" i="13"/>
  <c r="AB77" i="13"/>
  <c r="AB50" i="13"/>
  <c r="AB29" i="13"/>
  <c r="AB106" i="13"/>
  <c r="AB31" i="13"/>
  <c r="AB44" i="13"/>
  <c r="AB28" i="13"/>
  <c r="AB60" i="13"/>
  <c r="AB41" i="13"/>
  <c r="AB98" i="13"/>
  <c r="AB99" i="13"/>
  <c r="AB33" i="13"/>
  <c r="AB112" i="13"/>
  <c r="AB30" i="13"/>
  <c r="AB82" i="13"/>
  <c r="AB90" i="13"/>
  <c r="AB67" i="13"/>
  <c r="AB101" i="13"/>
  <c r="AB36" i="13"/>
  <c r="AB37" i="13"/>
  <c r="AB18" i="13"/>
  <c r="AB7" i="13"/>
  <c r="AB3" i="13"/>
  <c r="AB78" i="13"/>
  <c r="AB65" i="13"/>
  <c r="AB15" i="13"/>
  <c r="AB16" i="13"/>
  <c r="AB47" i="13"/>
  <c r="AB66" i="13"/>
  <c r="AB4" i="13"/>
  <c r="AB89" i="13"/>
  <c r="AB56" i="13"/>
  <c r="AB26" i="13"/>
  <c r="AB20" i="13"/>
  <c r="AB59" i="13"/>
  <c r="AB71" i="13"/>
  <c r="AB46" i="13"/>
  <c r="AB94" i="13"/>
  <c r="P24" i="13"/>
  <c r="P48" i="13"/>
  <c r="P42" i="13"/>
  <c r="P57" i="13"/>
  <c r="P53" i="13"/>
  <c r="P9" i="13"/>
  <c r="P107" i="13"/>
  <c r="P70" i="13"/>
  <c r="P52" i="13"/>
  <c r="P93" i="13"/>
  <c r="P109" i="13"/>
  <c r="P73" i="13"/>
  <c r="P12" i="13"/>
  <c r="P62" i="13"/>
  <c r="P95" i="13"/>
  <c r="P100" i="13"/>
  <c r="P61" i="13"/>
  <c r="P68" i="13"/>
  <c r="P17" i="13"/>
  <c r="P69" i="13"/>
  <c r="P6" i="13"/>
  <c r="P13" i="13"/>
  <c r="P19" i="13"/>
  <c r="P113" i="13"/>
  <c r="P55" i="13"/>
  <c r="P102" i="13"/>
  <c r="P81" i="13"/>
  <c r="P32" i="13"/>
  <c r="P34" i="13"/>
  <c r="P21" i="13"/>
  <c r="P8" i="13"/>
  <c r="P50" i="13"/>
  <c r="P77" i="13"/>
  <c r="P29" i="13"/>
  <c r="P106" i="13"/>
  <c r="P31" i="13"/>
  <c r="P44" i="13"/>
  <c r="P28" i="13"/>
  <c r="P60" i="13"/>
  <c r="P41" i="13"/>
  <c r="P98" i="13"/>
  <c r="P72" i="13"/>
  <c r="P99" i="13"/>
  <c r="P33" i="13"/>
  <c r="P112" i="13"/>
  <c r="P26" i="13"/>
  <c r="P58" i="13"/>
  <c r="P94" i="13"/>
  <c r="P47" i="13"/>
  <c r="P82" i="13"/>
  <c r="P30" i="13"/>
  <c r="P76" i="13"/>
  <c r="P90" i="13"/>
  <c r="P101" i="13"/>
  <c r="P35" i="13"/>
  <c r="P67" i="13"/>
  <c r="P36" i="13"/>
  <c r="P40" i="13"/>
  <c r="P37" i="13"/>
  <c r="P18" i="13"/>
  <c r="P7" i="13"/>
  <c r="P15" i="13"/>
  <c r="P65" i="13"/>
  <c r="P43" i="13"/>
  <c r="P78" i="13"/>
  <c r="P3" i="13"/>
  <c r="P16" i="13"/>
  <c r="P66" i="13"/>
  <c r="P4" i="13"/>
  <c r="P89" i="13"/>
  <c r="P51" i="13"/>
  <c r="P56" i="13"/>
  <c r="B60" i="14"/>
  <c r="O111" i="15"/>
  <c r="AD2" i="15"/>
  <c r="AA2" i="15"/>
  <c r="O2" i="15"/>
  <c r="H2" i="15"/>
  <c r="B40" i="14"/>
  <c r="O50" i="15" l="1"/>
  <c r="O98" i="15" s="1"/>
  <c r="O49" i="15"/>
  <c r="O97" i="15" s="1"/>
  <c r="AE60" i="13"/>
  <c r="H60" i="13"/>
  <c r="AE78" i="13"/>
  <c r="H78" i="13"/>
  <c r="AE65" i="13"/>
  <c r="H65" i="13"/>
  <c r="AE18" i="13"/>
  <c r="H18" i="13"/>
  <c r="AE20" i="13"/>
  <c r="H20" i="13"/>
  <c r="AE12" i="13"/>
  <c r="H12" i="13"/>
  <c r="AE8" i="13"/>
  <c r="H8" i="13"/>
  <c r="AE40" i="13"/>
  <c r="H40" i="13"/>
  <c r="AE2" i="13"/>
  <c r="H2" i="13"/>
  <c r="AE17" i="13"/>
  <c r="H17" i="13"/>
  <c r="AE24" i="13"/>
  <c r="H24" i="13"/>
  <c r="AE58" i="13"/>
  <c r="H58" i="13"/>
  <c r="AE48" i="13"/>
  <c r="H48" i="13"/>
  <c r="AE70" i="13"/>
  <c r="H70" i="13"/>
  <c r="AE35" i="13"/>
  <c r="H35" i="13"/>
  <c r="AE7" i="13"/>
  <c r="H7" i="13"/>
  <c r="AE15" i="13"/>
  <c r="H15" i="13"/>
  <c r="AE4" i="13"/>
  <c r="H4" i="13"/>
  <c r="AE36" i="13"/>
  <c r="H36" i="13"/>
  <c r="AE46" i="13"/>
  <c r="H46" i="13"/>
  <c r="AE29" i="13"/>
  <c r="H29" i="13"/>
  <c r="AE93" i="13"/>
  <c r="H93" i="13"/>
  <c r="AE59" i="13"/>
  <c r="H59" i="13"/>
  <c r="AE43" i="13"/>
  <c r="H43" i="13"/>
  <c r="AE16" i="13"/>
  <c r="H16" i="13"/>
  <c r="AE99" i="13"/>
  <c r="H99" i="13"/>
  <c r="AE6" i="13"/>
  <c r="H6" i="13"/>
  <c r="AE3" i="13"/>
  <c r="H3" i="13"/>
  <c r="AE90" i="13"/>
  <c r="H90" i="13"/>
  <c r="AE71" i="13"/>
  <c r="H71" i="13"/>
  <c r="AE67" i="13"/>
  <c r="H67" i="13"/>
  <c r="AE112" i="13"/>
  <c r="H112" i="13"/>
  <c r="AE30" i="13"/>
  <c r="H30" i="13"/>
  <c r="AE55" i="13"/>
  <c r="H55" i="13"/>
  <c r="AE9" i="13"/>
  <c r="H9" i="13"/>
  <c r="AE34" i="13"/>
  <c r="H34" i="13"/>
  <c r="AE42" i="13"/>
  <c r="H42" i="13"/>
  <c r="AE19" i="13"/>
  <c r="H19" i="13"/>
  <c r="AE98" i="13"/>
  <c r="H98" i="13"/>
  <c r="AE101" i="13"/>
  <c r="H101" i="13"/>
  <c r="AE72" i="13"/>
  <c r="H72" i="13"/>
  <c r="AE82" i="13"/>
  <c r="H82" i="13"/>
  <c r="AE47" i="13"/>
  <c r="H47" i="13"/>
  <c r="AE113" i="13"/>
  <c r="H113" i="13"/>
  <c r="AE33" i="13"/>
  <c r="H33" i="13"/>
  <c r="AE76" i="13"/>
  <c r="H76" i="13"/>
  <c r="AE44" i="13"/>
  <c r="H44" i="13"/>
  <c r="AE77" i="13"/>
  <c r="H77" i="13"/>
  <c r="AE32" i="13"/>
  <c r="H32" i="13"/>
  <c r="AE31" i="13"/>
  <c r="H31" i="13"/>
  <c r="AE66" i="13"/>
  <c r="H66" i="13"/>
  <c r="AE69" i="13"/>
  <c r="H69" i="13"/>
  <c r="AE37" i="13"/>
  <c r="H37" i="13"/>
  <c r="AE41" i="13"/>
  <c r="H41" i="13"/>
  <c r="AE68" i="13"/>
  <c r="H68" i="13"/>
  <c r="AE106" i="13"/>
  <c r="H106" i="13"/>
  <c r="AE89" i="13"/>
  <c r="H89" i="13"/>
  <c r="AE111" i="13"/>
  <c r="H111" i="13"/>
  <c r="AE26" i="13"/>
  <c r="H26" i="13"/>
  <c r="AE95" i="13"/>
  <c r="H95" i="13"/>
  <c r="AE100" i="13"/>
  <c r="H100" i="13"/>
  <c r="AE21" i="13"/>
  <c r="H21" i="13"/>
  <c r="AE107" i="13"/>
  <c r="H107" i="13"/>
  <c r="AE13" i="13"/>
  <c r="H13" i="13"/>
  <c r="AE50" i="13"/>
  <c r="H50" i="13"/>
  <c r="AE56" i="13"/>
  <c r="H56" i="13"/>
  <c r="AE53" i="13"/>
  <c r="H53" i="13"/>
  <c r="AE57" i="13"/>
  <c r="H57" i="13"/>
  <c r="AE62" i="13"/>
  <c r="H62" i="13"/>
  <c r="AE28" i="13"/>
  <c r="H28" i="13"/>
  <c r="AE54" i="13"/>
  <c r="H54" i="13"/>
  <c r="AE102" i="13"/>
  <c r="H102" i="13"/>
  <c r="AE81" i="13"/>
  <c r="H81" i="13"/>
  <c r="AE51" i="13"/>
  <c r="H51" i="13"/>
  <c r="AE52" i="13"/>
  <c r="H52" i="13"/>
  <c r="AE23" i="13"/>
  <c r="H23" i="13"/>
  <c r="AE94" i="13"/>
  <c r="H94" i="13"/>
  <c r="AE109" i="13"/>
  <c r="H109" i="13"/>
  <c r="AE61" i="13"/>
  <c r="H61" i="13"/>
  <c r="AE73" i="13"/>
  <c r="H73" i="13"/>
  <c r="AE22" i="13"/>
  <c r="AB22" i="13"/>
  <c r="P22" i="13"/>
  <c r="H22" i="13"/>
  <c r="AE27" i="13"/>
  <c r="AB27" i="13"/>
  <c r="H27" i="13"/>
  <c r="AE64" i="13"/>
  <c r="AB64" i="13"/>
  <c r="P64" i="13"/>
  <c r="H64" i="13"/>
  <c r="AE97" i="13"/>
  <c r="P97" i="13"/>
  <c r="H97" i="13"/>
  <c r="AE5" i="13"/>
  <c r="AB5" i="13"/>
  <c r="P5" i="13"/>
  <c r="H5" i="13"/>
  <c r="AE110" i="13"/>
  <c r="AB110" i="13"/>
  <c r="P110" i="13"/>
  <c r="H110" i="13"/>
  <c r="AE103" i="13"/>
  <c r="AB103" i="13"/>
  <c r="P103" i="13"/>
  <c r="H103" i="13"/>
  <c r="AE105" i="13"/>
  <c r="P105" i="13"/>
  <c r="H105" i="13"/>
  <c r="AE86" i="13"/>
  <c r="AB86" i="13"/>
  <c r="P86" i="13"/>
  <c r="H86" i="13"/>
  <c r="AE85" i="13"/>
  <c r="AB85" i="13"/>
  <c r="P85" i="13"/>
  <c r="H85" i="13"/>
  <c r="AE10" i="13"/>
  <c r="AB10" i="13"/>
  <c r="P10" i="13"/>
  <c r="H10" i="13"/>
  <c r="AE79" i="13"/>
  <c r="AB79" i="13"/>
  <c r="H79" i="13"/>
  <c r="AE84" i="13"/>
  <c r="AB84" i="13"/>
  <c r="H84" i="13"/>
  <c r="AE87" i="13"/>
  <c r="P87" i="13"/>
  <c r="H87" i="13"/>
  <c r="AE11" i="13"/>
  <c r="AB11" i="13"/>
  <c r="P11" i="13"/>
  <c r="H11" i="13"/>
  <c r="AE108" i="13"/>
  <c r="AB108" i="13"/>
  <c r="P108" i="13"/>
  <c r="H108" i="13"/>
  <c r="AE63" i="13"/>
  <c r="AB63" i="13"/>
  <c r="P63" i="13"/>
  <c r="H63" i="13"/>
  <c r="AE25" i="13"/>
  <c r="AB25" i="13"/>
  <c r="P25" i="13"/>
  <c r="H25" i="13"/>
  <c r="AE39" i="13"/>
  <c r="AB39" i="13"/>
  <c r="P39" i="13"/>
  <c r="H39" i="13"/>
  <c r="AE74" i="13"/>
  <c r="AB74" i="13"/>
  <c r="P74" i="13"/>
  <c r="H74" i="13"/>
  <c r="AE83" i="13"/>
  <c r="AB83" i="13"/>
  <c r="P83" i="13"/>
  <c r="H83" i="13"/>
  <c r="AE104" i="13"/>
  <c r="AB104" i="13"/>
  <c r="P104" i="13"/>
  <c r="H104" i="13"/>
  <c r="AE88" i="13"/>
  <c r="AB88" i="13"/>
  <c r="P88" i="13"/>
  <c r="H88" i="13"/>
  <c r="AE92" i="13"/>
  <c r="AB92" i="13"/>
  <c r="P92" i="13"/>
  <c r="H92" i="13"/>
  <c r="AE45" i="13"/>
  <c r="AB45" i="13"/>
  <c r="P45" i="13"/>
  <c r="H45" i="13"/>
  <c r="AE75" i="13"/>
  <c r="AB75" i="13"/>
  <c r="P75" i="13"/>
  <c r="H75" i="13"/>
  <c r="AE49" i="13"/>
  <c r="AB49" i="13"/>
  <c r="P49" i="13"/>
  <c r="H49" i="13"/>
  <c r="AE91" i="13"/>
  <c r="AB91" i="13"/>
  <c r="P91" i="13"/>
  <c r="H91" i="13"/>
  <c r="AD61" i="11"/>
  <c r="H61" i="11"/>
  <c r="AD79" i="11"/>
  <c r="H79" i="11"/>
  <c r="AD66" i="11"/>
  <c r="H66" i="11"/>
  <c r="AD18" i="11"/>
  <c r="H18" i="11"/>
  <c r="AD20" i="11"/>
  <c r="H20" i="11"/>
  <c r="AD12" i="11"/>
  <c r="H12" i="11"/>
  <c r="AD8" i="11"/>
  <c r="H8" i="11"/>
  <c r="AD40" i="11"/>
  <c r="H40" i="11"/>
  <c r="AD2" i="11"/>
  <c r="H2" i="11"/>
  <c r="AD17" i="11"/>
  <c r="H17" i="11"/>
  <c r="AD24" i="11"/>
  <c r="H24" i="11"/>
  <c r="AD59" i="11"/>
  <c r="H59" i="11"/>
  <c r="AD48" i="11"/>
  <c r="H48" i="11"/>
  <c r="AD71" i="11"/>
  <c r="H71" i="11"/>
  <c r="AD35" i="11"/>
  <c r="H35" i="11"/>
  <c r="AD7" i="11"/>
  <c r="H7" i="11"/>
  <c r="AD15" i="11"/>
  <c r="H15" i="11"/>
  <c r="AD4" i="11"/>
  <c r="H4" i="11"/>
  <c r="AD36" i="11"/>
  <c r="H36" i="11"/>
  <c r="AD46" i="11"/>
  <c r="H46" i="11"/>
  <c r="AD29" i="11"/>
  <c r="H29" i="11"/>
  <c r="AD94" i="11"/>
  <c r="H94" i="11"/>
  <c r="AD60" i="11"/>
  <c r="H60" i="11"/>
  <c r="AD43" i="11"/>
  <c r="H43" i="11"/>
  <c r="AD16" i="11"/>
  <c r="H16" i="11"/>
  <c r="AD100" i="11"/>
  <c r="H100" i="11"/>
  <c r="AD6" i="11"/>
  <c r="H6" i="11"/>
  <c r="AD3" i="11"/>
  <c r="H3" i="11"/>
  <c r="AD91" i="11"/>
  <c r="H91" i="11"/>
  <c r="AD72" i="11"/>
  <c r="H72" i="11"/>
  <c r="AD68" i="11"/>
  <c r="H68" i="11"/>
  <c r="AD113" i="11"/>
  <c r="H113" i="11"/>
  <c r="AD30" i="11"/>
  <c r="H30" i="11"/>
  <c r="AD56" i="11"/>
  <c r="H56" i="11"/>
  <c r="AD9" i="11"/>
  <c r="H9" i="11"/>
  <c r="AD34" i="11"/>
  <c r="H34" i="11"/>
  <c r="AD42" i="11"/>
  <c r="H42" i="11"/>
  <c r="AD19" i="11"/>
  <c r="H19" i="11"/>
  <c r="AD99" i="11"/>
  <c r="H99" i="11"/>
  <c r="AD102" i="11"/>
  <c r="H102" i="11"/>
  <c r="AD73" i="11"/>
  <c r="H73" i="11"/>
  <c r="AD83" i="11"/>
  <c r="H83" i="11"/>
  <c r="AD47" i="11"/>
  <c r="H47" i="11"/>
  <c r="AD114" i="11"/>
  <c r="H114" i="11"/>
  <c r="AD33" i="11"/>
  <c r="H33" i="11"/>
  <c r="AD77" i="11"/>
  <c r="H77" i="11"/>
  <c r="AD44" i="11"/>
  <c r="H44" i="11"/>
  <c r="AD78" i="11"/>
  <c r="H78" i="11"/>
  <c r="AD32" i="11"/>
  <c r="H32" i="11"/>
  <c r="AD31" i="11"/>
  <c r="H31" i="11"/>
  <c r="AD67" i="11"/>
  <c r="H67" i="11"/>
  <c r="AD70" i="11"/>
  <c r="H70" i="11"/>
  <c r="AD37" i="11"/>
  <c r="H37" i="11"/>
  <c r="AD54" i="11"/>
  <c r="H54" i="11"/>
  <c r="AD41" i="11"/>
  <c r="H41" i="11"/>
  <c r="AD69" i="11"/>
  <c r="H69" i="11"/>
  <c r="AD107" i="11"/>
  <c r="H107" i="11"/>
  <c r="AD90" i="11"/>
  <c r="H90" i="11"/>
  <c r="AD112" i="11"/>
  <c r="H112" i="11"/>
  <c r="AD26" i="11"/>
  <c r="H26" i="11"/>
  <c r="AD96" i="11"/>
  <c r="H96" i="11"/>
  <c r="AD101" i="11"/>
  <c r="H101" i="11"/>
  <c r="AD21" i="11"/>
  <c r="H21" i="11"/>
  <c r="AD108" i="11"/>
  <c r="H108" i="11"/>
  <c r="AD13" i="11"/>
  <c r="H13" i="11"/>
  <c r="AD50" i="11"/>
  <c r="H50" i="11"/>
  <c r="AD57" i="11"/>
  <c r="H57" i="11"/>
  <c r="AD53" i="11"/>
  <c r="H53" i="11"/>
  <c r="AD58" i="11"/>
  <c r="H58" i="11"/>
  <c r="AD63" i="11"/>
  <c r="H63" i="11"/>
  <c r="AD28" i="11"/>
  <c r="H28" i="11"/>
  <c r="AD55" i="11"/>
  <c r="H55" i="11"/>
  <c r="AD103" i="11"/>
  <c r="H103" i="11"/>
  <c r="AD82" i="11"/>
  <c r="H82" i="11"/>
  <c r="AD51" i="11"/>
  <c r="H51" i="11"/>
  <c r="AD52" i="11"/>
  <c r="H52" i="11"/>
  <c r="AD23" i="11"/>
  <c r="H23" i="11"/>
  <c r="AD95" i="11"/>
  <c r="H95" i="11"/>
  <c r="AD110" i="11"/>
  <c r="H110" i="11"/>
  <c r="AD62" i="11"/>
  <c r="H62" i="11"/>
  <c r="AD74" i="11"/>
  <c r="H74" i="11"/>
  <c r="AD22" i="11"/>
  <c r="AA22" i="11"/>
  <c r="O22" i="11"/>
  <c r="H22" i="11"/>
  <c r="AD27" i="11"/>
  <c r="AA27" i="11"/>
  <c r="H27" i="11"/>
  <c r="AD65" i="11"/>
  <c r="AA65" i="11"/>
  <c r="O65" i="11"/>
  <c r="H65" i="11"/>
  <c r="AD98" i="11"/>
  <c r="O98" i="11"/>
  <c r="H98" i="11"/>
  <c r="AD5" i="11"/>
  <c r="AA5" i="11"/>
  <c r="O5" i="11"/>
  <c r="H5" i="11"/>
  <c r="AD111" i="11"/>
  <c r="AA111" i="11"/>
  <c r="O111" i="11"/>
  <c r="H111" i="11"/>
  <c r="AD104" i="11"/>
  <c r="AA104" i="11"/>
  <c r="O104" i="11"/>
  <c r="H104" i="11"/>
  <c r="AD106" i="11"/>
  <c r="O106" i="11"/>
  <c r="H106" i="11"/>
  <c r="AD87" i="11"/>
  <c r="AA87" i="11"/>
  <c r="O87" i="11"/>
  <c r="H87" i="11"/>
  <c r="AD86" i="11"/>
  <c r="AA86" i="11"/>
  <c r="O86" i="11"/>
  <c r="H86" i="11"/>
  <c r="AD10" i="11"/>
  <c r="AA10" i="11"/>
  <c r="O10" i="11"/>
  <c r="H10" i="11"/>
  <c r="AD80" i="11"/>
  <c r="AA80" i="11"/>
  <c r="H80" i="11"/>
  <c r="AD85" i="11"/>
  <c r="AA85" i="11"/>
  <c r="H85" i="11"/>
  <c r="AD88" i="11"/>
  <c r="O88" i="11"/>
  <c r="H88" i="11"/>
  <c r="AD11" i="11"/>
  <c r="AA11" i="11"/>
  <c r="O11" i="11"/>
  <c r="H11" i="11"/>
  <c r="AD109" i="11"/>
  <c r="AA109" i="11"/>
  <c r="O109" i="11"/>
  <c r="H109" i="11"/>
  <c r="AD64" i="11"/>
  <c r="AA64" i="11"/>
  <c r="O64" i="11"/>
  <c r="H64" i="11"/>
  <c r="AD25" i="11"/>
  <c r="AA25" i="11"/>
  <c r="O25" i="11"/>
  <c r="H25" i="11"/>
  <c r="AD39" i="11"/>
  <c r="AA39" i="11"/>
  <c r="O39" i="11"/>
  <c r="H39" i="11"/>
  <c r="AD75" i="11"/>
  <c r="AA75" i="11"/>
  <c r="O75" i="11"/>
  <c r="H75" i="11"/>
  <c r="AD84" i="11"/>
  <c r="AA84" i="11"/>
  <c r="O84" i="11"/>
  <c r="H84" i="11"/>
  <c r="AD105" i="11"/>
  <c r="AA105" i="11"/>
  <c r="O105" i="11"/>
  <c r="H105" i="11"/>
  <c r="AD89" i="11"/>
  <c r="AA89" i="11"/>
  <c r="O89" i="11"/>
  <c r="H89" i="11"/>
  <c r="AD93" i="11"/>
  <c r="AA93" i="11"/>
  <c r="O93" i="11"/>
  <c r="H93" i="11"/>
  <c r="AD45" i="11"/>
  <c r="AA45" i="11"/>
  <c r="O45" i="11"/>
  <c r="H45" i="11"/>
  <c r="AD76" i="11"/>
  <c r="AA76" i="11"/>
  <c r="O76" i="11"/>
  <c r="H76" i="11"/>
  <c r="AD49" i="11"/>
  <c r="AA49" i="11"/>
  <c r="O49" i="11"/>
  <c r="H49" i="11"/>
  <c r="AD92" i="11"/>
  <c r="AA92" i="11"/>
  <c r="O92" i="11"/>
  <c r="H92" i="11"/>
  <c r="H116" i="11" l="1"/>
  <c r="K37" i="3"/>
</calcChain>
</file>

<file path=xl/sharedStrings.xml><?xml version="1.0" encoding="utf-8"?>
<sst xmlns="http://schemas.openxmlformats.org/spreadsheetml/2006/main" count="10886" uniqueCount="888">
  <si>
    <t>IPP</t>
  </si>
  <si>
    <t>mater origine</t>
  </si>
  <si>
    <t>date debut de pc</t>
  </si>
  <si>
    <t>pontoise</t>
  </si>
  <si>
    <t>PE</t>
  </si>
  <si>
    <t>HTAc</t>
  </si>
  <si>
    <t>HTAg</t>
  </si>
  <si>
    <t>argenteuil</t>
  </si>
  <si>
    <t>MONTFERMEIL</t>
  </si>
  <si>
    <t xml:space="preserve">
511908</t>
  </si>
  <si>
    <t>age</t>
  </si>
  <si>
    <t>parité</t>
  </si>
  <si>
    <t>IMC</t>
  </si>
  <si>
    <t>spont/PMA</t>
  </si>
  <si>
    <t>ATCD</t>
  </si>
  <si>
    <t>patho associé</t>
  </si>
  <si>
    <t>nd RCF</t>
  </si>
  <si>
    <t>nd EF</t>
  </si>
  <si>
    <t>nb BVR</t>
  </si>
  <si>
    <t>terme sortie</t>
  </si>
  <si>
    <t>ajout patho</t>
  </si>
  <si>
    <t>issue</t>
  </si>
  <si>
    <t>durée HAD</t>
  </si>
  <si>
    <t>DELAFONTAINE</t>
  </si>
  <si>
    <t xml:space="preserve">
423828</t>
  </si>
  <si>
    <t>echo entrée</t>
  </si>
  <si>
    <t>traitement</t>
  </si>
  <si>
    <t>BVR entrée</t>
  </si>
  <si>
    <t>prot</t>
  </si>
  <si>
    <t>DDN</t>
  </si>
  <si>
    <t>spont</t>
  </si>
  <si>
    <t>BVR sortie</t>
  </si>
  <si>
    <t>date sortie</t>
  </si>
  <si>
    <t>terme mise 
en place ttt</t>
  </si>
  <si>
    <t>Classification patho</t>
  </si>
  <si>
    <t>gem</t>
  </si>
  <si>
    <t>patho prescription</t>
  </si>
  <si>
    <t>CRH</t>
  </si>
  <si>
    <t>terme d'entrée</t>
  </si>
  <si>
    <t>HTAC</t>
  </si>
  <si>
    <t>DDG</t>
  </si>
  <si>
    <t>echo sortie</t>
  </si>
  <si>
    <t>enquete perinat 2021</t>
  </si>
  <si>
    <t>35-39</t>
  </si>
  <si>
    <t>surpoids</t>
  </si>
  <si>
    <t>obesité</t>
  </si>
  <si>
    <t>La fréquence des femmes présentant une hypertension artérielle en cours de grossesse, avec ou sans</t>
  </si>
  <si>
    <t>protéinurie, est stable par rapport à 2016, aux alentours de 4%.</t>
  </si>
  <si>
    <t>Moins de 1% des femmes avaient un diabète préexistant à la grossesse, insulino ou non-insulino dépendant,</t>
  </si>
  <si>
    <t>et 2,6% un antécédent de diabète gestationnel (contre 1,8% en 2016) (Tableau 22). Par ailleurs, 23,2% des</t>
  </si>
  <si>
    <t>femmes ont signalé un antécédent personnel ou familial de diabète au premier degré (diabète gestationnel</t>
  </si>
  <si>
    <t>ou insulino ou non-insulino dépendant), chiffre stable par rapport à 2016 (23,7%). Moins de 1% des femmes</t>
  </si>
  <si>
    <t>avaient une hypertension artérielle (HTA) chronique avant la grossesse et 1,2% un antécédent d’HTA lors</t>
  </si>
  <si>
    <t>d’une grossesse antérieure.</t>
  </si>
  <si>
    <t>Une HTA a été diagnostiquée pendant la grossesse chez 4,3% des femmes (HTA avec protéinurie pour 2,3%</t>
  </si>
  <si>
    <t>des femmes). Ce taux est stable depuis 2016 (Tableau 24). Le diagnostic d’HTA est principalement posé au</t>
  </si>
  <si>
    <t>3ème trimestre de la grossesse (38,1% des femmes sont diagnostiquées entre 32 et 36 SA et 41,8% à 37 SA ou</t>
  </si>
  <si>
    <t>après), et a conduit à une hospitalisation dans 65,0% des cas.</t>
  </si>
  <si>
    <t>Une anomalie de poids foetal a été suspectée pendant la grossesse : pour 5,2% des nouveau-nés il s’agissait</t>
  </si>
  <si>
    <t>d’un retard de croissance intra-utérin (RCIU) ou d’un petit poids pour l’âge gestationnel, chiffre stable</t>
  </si>
  <si>
    <t>comparativement à 2016 (5,3%) et pour 8,7% des enfants cela concernait une macrosomie, en augmentation</t>
  </si>
  <si>
    <t>par rapport à 2016 (5,0%).</t>
  </si>
  <si>
    <t>DT1/DT2</t>
  </si>
  <si>
    <t>&lt;1</t>
  </si>
  <si>
    <t>atcd DG</t>
  </si>
  <si>
    <t>atcd HTAg</t>
  </si>
  <si>
    <t>HTA / PE</t>
  </si>
  <si>
    <t>HTAg + PE</t>
  </si>
  <si>
    <t>Dg HTA 32/36SA</t>
  </si>
  <si>
    <t>Dg HTA &gt;37SA</t>
  </si>
  <si>
    <t>RCIU / PAG</t>
  </si>
  <si>
    <t>macrosomie</t>
  </si>
  <si>
    <t>DG</t>
  </si>
  <si>
    <t>jumeau</t>
  </si>
  <si>
    <t>ttt infertitité</t>
  </si>
  <si>
    <t>cure ctc</t>
  </si>
  <si>
    <t>HTAG</t>
  </si>
  <si>
    <t>oui</t>
  </si>
  <si>
    <t>non</t>
  </si>
  <si>
    <t>Hept B</t>
  </si>
  <si>
    <t>eutrophe</t>
  </si>
  <si>
    <t>trandate 
aspegic</t>
  </si>
  <si>
    <t>normal</t>
  </si>
  <si>
    <t>negatif</t>
  </si>
  <si>
    <t>RCIU</t>
  </si>
  <si>
    <t>RCIU
PE</t>
  </si>
  <si>
    <t>1er hospit pour HTA severe
2eme hospit pour PE sur ajouté</t>
  </si>
  <si>
    <t>PAG 10e perc</t>
  </si>
  <si>
    <t>trandate
Loxen</t>
  </si>
  <si>
    <t>PTU 0.87/L
P/C 134</t>
  </si>
  <si>
    <t>3 puis 7</t>
  </si>
  <si>
    <t>prot sortie</t>
  </si>
  <si>
    <t>DGID</t>
  </si>
  <si>
    <t>33SA</t>
  </si>
  <si>
    <t>trandate</t>
  </si>
  <si>
    <t>avant 20SA</t>
  </si>
  <si>
    <t>PTU 0,32/24</t>
  </si>
  <si>
    <t>note</t>
  </si>
  <si>
    <t>1/sem</t>
  </si>
  <si>
    <t>HTA severe</t>
  </si>
  <si>
    <t>1/mois</t>
  </si>
  <si>
    <t>HTAc + PE</t>
  </si>
  <si>
    <t>2/sem</t>
  </si>
  <si>
    <t>Trandate
Loxen
Aldomet</t>
  </si>
  <si>
    <t>36+6</t>
  </si>
  <si>
    <t>0,5/24H</t>
  </si>
  <si>
    <t>1g/24h</t>
  </si>
  <si>
    <t>Aldomet</t>
  </si>
  <si>
    <t>AVP 28SA</t>
  </si>
  <si>
    <t>33+1</t>
  </si>
  <si>
    <t>aucun</t>
  </si>
  <si>
    <t>0,48/24</t>
  </si>
  <si>
    <t>0,5/24</t>
  </si>
  <si>
    <t>HTAc
PE</t>
  </si>
  <si>
    <t>5eme perc</t>
  </si>
  <si>
    <t>cassure 
croissance</t>
  </si>
  <si>
    <t>MFIU
HTAc</t>
  </si>
  <si>
    <t>DGNID
PE</t>
  </si>
  <si>
    <t>hospit 3jr 
pour ARCF</t>
  </si>
  <si>
    <t>loxen
Aldomet
Aspegic</t>
  </si>
  <si>
    <t>loxen
Aldomet</t>
  </si>
  <si>
    <t>0,3/24</t>
  </si>
  <si>
    <t>0,4/24</t>
  </si>
  <si>
    <t>hospit
pour HTA</t>
  </si>
  <si>
    <t>declt
prog</t>
  </si>
  <si>
    <t>declt 
en urg</t>
  </si>
  <si>
    <t>age au DDG</t>
  </si>
  <si>
    <t>PE surajoutée</t>
  </si>
  <si>
    <t>Aspegic
Trandate</t>
  </si>
  <si>
    <t>HTAc
DT2 mody</t>
  </si>
  <si>
    <t>aldomet
Loxen</t>
  </si>
  <si>
    <t>10 FCS
PE/préma</t>
  </si>
  <si>
    <t>cerclage</t>
  </si>
  <si>
    <t>Aspegic
Trandate
Loxen</t>
  </si>
  <si>
    <t>W spont</t>
  </si>
  <si>
    <t>PMA</t>
  </si>
  <si>
    <t>RCIU T2</t>
  </si>
  <si>
    <t>&lt;1er perc</t>
  </si>
  <si>
    <t>hospit 
ARCF+ 
HTA</t>
  </si>
  <si>
    <t>HTAc
PE/préma</t>
  </si>
  <si>
    <t>27+3</t>
  </si>
  <si>
    <t>Aspegic
trandate</t>
  </si>
  <si>
    <t>Hospit
pour  HTA</t>
  </si>
  <si>
    <t>AVC
HTAc</t>
  </si>
  <si>
    <t>HIV</t>
  </si>
  <si>
    <t>&gt;90e perc</t>
  </si>
  <si>
    <t>Kardegic
Trandate
Loxen
Aldomet</t>
  </si>
  <si>
    <t>Hospit 3jr 
pour HTA + CU</t>
  </si>
  <si>
    <t>&gt;90 eme perc</t>
  </si>
  <si>
    <t>HTAC
HRP avec MFIU</t>
  </si>
  <si>
    <t>Loxen
Aldomet
Trandate</t>
  </si>
  <si>
    <t>Hospit
pour MTR</t>
  </si>
  <si>
    <t>90eme perc</t>
  </si>
  <si>
    <t>Loxen
Trandate</t>
  </si>
  <si>
    <t>DGNID</t>
  </si>
  <si>
    <t>apres 25SA</t>
  </si>
  <si>
    <t>Trandate
loxen</t>
  </si>
  <si>
    <t>Hospit 
pour HTA</t>
  </si>
  <si>
    <t>créat &gt;100</t>
  </si>
  <si>
    <t>PTU&gt;10/24</t>
  </si>
  <si>
    <t>IMG/PE</t>
  </si>
  <si>
    <t>Aspegic
Trandate
Aldomet</t>
  </si>
  <si>
    <t>38+3</t>
  </si>
  <si>
    <t>Trandate
Aldomet</t>
  </si>
  <si>
    <t>PE
DGID
Préma 35SA</t>
  </si>
  <si>
    <t>apres 20SA</t>
  </si>
  <si>
    <t>Spont</t>
  </si>
  <si>
    <t>GEM</t>
  </si>
  <si>
    <t>RCIU JA
DGID</t>
  </si>
  <si>
    <t>JA 4e perc
JB 52e perc</t>
  </si>
  <si>
    <t>Aldomet
Trandate</t>
  </si>
  <si>
    <t>Hospit</t>
  </si>
  <si>
    <t>anomalie 
doppler JA</t>
  </si>
  <si>
    <t>Trandate
Loxen</t>
  </si>
  <si>
    <t>Hospit
RCIU</t>
  </si>
  <si>
    <t>stable</t>
  </si>
  <si>
    <t>BIBI</t>
  </si>
  <si>
    <t>33+5</t>
  </si>
  <si>
    <t>eutrophes</t>
  </si>
  <si>
    <t>PE surajouté</t>
  </si>
  <si>
    <t>Acct préma</t>
  </si>
  <si>
    <t>DT2</t>
  </si>
  <si>
    <t>MFIU</t>
  </si>
  <si>
    <t>Pe/Help
Préma 28SA</t>
  </si>
  <si>
    <t>declt 
en urg
ARCF</t>
  </si>
  <si>
    <t>1,72g/24</t>
  </si>
  <si>
    <t>&gt;7g/24h</t>
  </si>
  <si>
    <t>PTU 1g/24</t>
  </si>
  <si>
    <t>&gt;4g/24h</t>
  </si>
  <si>
    <t>0,6/24h</t>
  </si>
  <si>
    <t>PTU 1,6/24h</t>
  </si>
  <si>
    <t>0,7/24h</t>
  </si>
  <si>
    <t>2,78/24</t>
  </si>
  <si>
    <t>0,44/24</t>
  </si>
  <si>
    <t>A/A *2
creat 100</t>
  </si>
  <si>
    <t>1,67g/24</t>
  </si>
  <si>
    <t>2 hospi 
pour MAP</t>
  </si>
  <si>
    <t>A/A 3* NL</t>
  </si>
  <si>
    <t>&lt;4g/24h</t>
  </si>
  <si>
    <t>23SA</t>
  </si>
  <si>
    <t>A/A 2* NL</t>
  </si>
  <si>
    <t>&gt;7g/24</t>
  </si>
  <si>
    <t>33+6</t>
  </si>
  <si>
    <t>Hospi
PTU</t>
  </si>
  <si>
    <t>hyper PTU</t>
  </si>
  <si>
    <t>2g/24</t>
  </si>
  <si>
    <t>32+3</t>
  </si>
  <si>
    <t>declt prog</t>
  </si>
  <si>
    <t>NC</t>
  </si>
  <si>
    <t>HTC
Nephropathie</t>
  </si>
  <si>
    <t>Loxen</t>
  </si>
  <si>
    <t>hospi PE</t>
  </si>
  <si>
    <t>3g/24</t>
  </si>
  <si>
    <t>&gt;5g/24</t>
  </si>
  <si>
    <t>3g/25</t>
  </si>
  <si>
    <t>HTAc
MFIU
PE
HRP</t>
  </si>
  <si>
    <t>hospit a 35 SA pour HTA
hospit a 
36SA fièvre</t>
  </si>
  <si>
    <t>DGNID
Hypothyroidie</t>
  </si>
  <si>
    <t>Loxen
Trandate
Aspegic</t>
  </si>
  <si>
    <t>37+5</t>
  </si>
  <si>
    <t>PE
RCIU</t>
  </si>
  <si>
    <t>39+3</t>
  </si>
  <si>
    <t>34SA</t>
  </si>
  <si>
    <t>FIV</t>
  </si>
  <si>
    <t>thrombopénie
 140</t>
  </si>
  <si>
    <t>0,46/L</t>
  </si>
  <si>
    <t>0,32/24h
P/C 90</t>
  </si>
  <si>
    <t>24SA</t>
  </si>
  <si>
    <t>Stim</t>
  </si>
  <si>
    <t>MFIU JB 12SA</t>
  </si>
  <si>
    <t>0,39/24h
P/C 36</t>
  </si>
  <si>
    <t>2 réhospit 
en GHR
13-15 fev
18/-21 fev
colique nephretique</t>
  </si>
  <si>
    <t>31+5</t>
  </si>
  <si>
    <t>PE sur ajouté</t>
  </si>
  <si>
    <t>hospit GHR</t>
  </si>
  <si>
    <t>RCIU&lt;1er</t>
  </si>
  <si>
    <t>31+2</t>
  </si>
  <si>
    <t>20SA</t>
  </si>
  <si>
    <t>RCIU&lt;1er
CIV fœtale</t>
  </si>
  <si>
    <t>RCIU
Hydramnios</t>
  </si>
  <si>
    <t>positive</t>
  </si>
  <si>
    <t>HTAc
Adenome hypophysaire</t>
  </si>
  <si>
    <t>31+3</t>
  </si>
  <si>
    <t>30+3</t>
  </si>
  <si>
    <t>Hospit PE 
severe</t>
  </si>
  <si>
    <t>30SA</t>
  </si>
  <si>
    <t>endometriose
Hypothyroidie</t>
  </si>
  <si>
    <t>1,5/24h</t>
  </si>
  <si>
    <t>0,5/24h</t>
  </si>
  <si>
    <t>HTAc
PE, prema</t>
  </si>
  <si>
    <t>29+6</t>
  </si>
  <si>
    <t>38+2</t>
  </si>
  <si>
    <t>TA non stable</t>
  </si>
  <si>
    <t>2/mois</t>
  </si>
  <si>
    <t>motif rehospi</t>
  </si>
  <si>
    <t>NB evenements
 intercurrents</t>
  </si>
  <si>
    <t>description
evenement interrcurrant</t>
  </si>
  <si>
    <t>motif declanchement</t>
  </si>
  <si>
    <t>32+5</t>
  </si>
  <si>
    <t>hospit
declt ARCF</t>
  </si>
  <si>
    <t>ARCF</t>
  </si>
  <si>
    <t>36SA</t>
  </si>
  <si>
    <t>oncocytome 
rénale a 25SA</t>
  </si>
  <si>
    <t>89e perc</t>
  </si>
  <si>
    <t>37SA</t>
  </si>
  <si>
    <t>terme acct</t>
  </si>
  <si>
    <t>HTA G</t>
  </si>
  <si>
    <t>&gt;40</t>
  </si>
  <si>
    <t>HTA c</t>
  </si>
  <si>
    <t>DT+ HTA</t>
  </si>
  <si>
    <t>39SA</t>
  </si>
  <si>
    <t>38SA</t>
  </si>
  <si>
    <t>&lt;35</t>
  </si>
  <si>
    <t>Trandate</t>
  </si>
  <si>
    <t>1 hospt pour TA desequilibré
ARCF</t>
  </si>
  <si>
    <t>0,9/L</t>
  </si>
  <si>
    <t>32+2</t>
  </si>
  <si>
    <t>38+4</t>
  </si>
  <si>
    <t>36+1</t>
  </si>
  <si>
    <t>PAG</t>
  </si>
  <si>
    <t>36+5</t>
  </si>
  <si>
    <t>ARCF a 36+5</t>
  </si>
  <si>
    <t>declt en urg</t>
  </si>
  <si>
    <t>3,9/24</t>
  </si>
  <si>
    <t>RCIU
DGNID</t>
  </si>
  <si>
    <t>1,4/24</t>
  </si>
  <si>
    <t>trandate
Insuline
Cholurso</t>
  </si>
  <si>
    <t>rciu</t>
  </si>
  <si>
    <t>35+5</t>
  </si>
  <si>
    <t>1 hospit 48h 
pour HTA</t>
  </si>
  <si>
    <t>37+2</t>
  </si>
  <si>
    <t>0,3/L</t>
  </si>
  <si>
    <t>A/A *4
thrombopénie</t>
  </si>
  <si>
    <t>A/A *2
thrombopénie</t>
  </si>
  <si>
    <t>0,6/L</t>
  </si>
  <si>
    <t>27+2</t>
  </si>
  <si>
    <t>atcd PE</t>
  </si>
  <si>
    <t>0,42/L
0,16/24h</t>
  </si>
  <si>
    <t>urg pour Bio</t>
  </si>
  <si>
    <t>1 hospit pour PE
2 eme hospit pourr ano bio</t>
  </si>
  <si>
    <t>macrosmie</t>
  </si>
  <si>
    <t>positif</t>
  </si>
  <si>
    <t>cesar</t>
  </si>
  <si>
    <t>Pe severe</t>
  </si>
  <si>
    <t>HTAc
DT2</t>
  </si>
  <si>
    <t>RCIU*2</t>
  </si>
  <si>
    <t>30+4</t>
  </si>
  <si>
    <t>Hospit 
pour ARCF</t>
  </si>
  <si>
    <t>34+4</t>
  </si>
  <si>
    <t>35+3</t>
  </si>
  <si>
    <t>declt</t>
  </si>
  <si>
    <t>35+4</t>
  </si>
  <si>
    <t>DT2 +HTA</t>
  </si>
  <si>
    <t>30+6</t>
  </si>
  <si>
    <t>37+6</t>
  </si>
  <si>
    <t>hypothyroidie</t>
  </si>
  <si>
    <t>32+4</t>
  </si>
  <si>
    <t>38+1</t>
  </si>
  <si>
    <t>DGID + HTA</t>
  </si>
  <si>
    <t>ATCD MFIU</t>
  </si>
  <si>
    <t>37+3</t>
  </si>
  <si>
    <t>Loxen
Aldomet</t>
  </si>
  <si>
    <t>1 cs urg pour HTA/ARCF
RAD</t>
  </si>
  <si>
    <t>1,6/L</t>
  </si>
  <si>
    <t>pas de contrôle</t>
  </si>
  <si>
    <t>MAP
DGNID</t>
  </si>
  <si>
    <t>thrombopenie legère</t>
  </si>
  <si>
    <t>PTU 0,5/24</t>
  </si>
  <si>
    <t>declt urg</t>
  </si>
  <si>
    <t>PTU</t>
  </si>
  <si>
    <t>hospit MTR</t>
  </si>
  <si>
    <t>1/hospit 
pour MAP
2/hospit pour MTR</t>
  </si>
  <si>
    <t>MTR</t>
  </si>
  <si>
    <t>acct</t>
  </si>
  <si>
    <t>loxen</t>
  </si>
  <si>
    <t>38+5</t>
  </si>
  <si>
    <t>PE + DGID</t>
  </si>
  <si>
    <t>39+5</t>
  </si>
  <si>
    <t>31+6</t>
  </si>
  <si>
    <t>38+6</t>
  </si>
  <si>
    <t>36+3</t>
  </si>
  <si>
    <t>32+6</t>
  </si>
  <si>
    <t>W Spont</t>
  </si>
  <si>
    <t>HTA</t>
  </si>
  <si>
    <t>35+1</t>
  </si>
  <si>
    <t>29+3</t>
  </si>
  <si>
    <t>HTA+DG</t>
  </si>
  <si>
    <t>terme</t>
  </si>
  <si>
    <t>DT2
HTAg</t>
  </si>
  <si>
    <t>2 passages aux 
urg pour ARCF et HTA</t>
  </si>
  <si>
    <t>Aldomet
Loxen</t>
  </si>
  <si>
    <t>Neg</t>
  </si>
  <si>
    <t>relais mater</t>
  </si>
  <si>
    <t>absence lors des passages
refus HAD</t>
  </si>
  <si>
    <t>34+6</t>
  </si>
  <si>
    <t>28+4</t>
  </si>
  <si>
    <t>40+2</t>
  </si>
  <si>
    <t xml:space="preserve">Loxen
acebutolol </t>
  </si>
  <si>
    <t>32+1</t>
  </si>
  <si>
    <t>34+5</t>
  </si>
  <si>
    <t>hospit</t>
  </si>
  <si>
    <t>A/A*2</t>
  </si>
  <si>
    <t>PTU 1,20</t>
  </si>
  <si>
    <t>28+6</t>
  </si>
  <si>
    <t>34+1</t>
  </si>
  <si>
    <t>27+6</t>
  </si>
  <si>
    <t>30+2</t>
  </si>
  <si>
    <t>Declt prog</t>
  </si>
  <si>
    <t>DGID desequ</t>
  </si>
  <si>
    <t>FCT</t>
  </si>
  <si>
    <t>31+1</t>
  </si>
  <si>
    <t>38SA+4</t>
  </si>
  <si>
    <t>39+2</t>
  </si>
  <si>
    <t>neg</t>
  </si>
  <si>
    <t>28+2</t>
  </si>
  <si>
    <t>30+1</t>
  </si>
  <si>
    <t>thrombopénie (120)</t>
  </si>
  <si>
    <t>39+6</t>
  </si>
  <si>
    <t>39SA+6</t>
  </si>
  <si>
    <t>thrombopenie
 stable</t>
  </si>
  <si>
    <t>41SA</t>
  </si>
  <si>
    <t>29+1</t>
  </si>
  <si>
    <t>DGNID desequ</t>
  </si>
  <si>
    <t>aldomet</t>
  </si>
  <si>
    <t>39SA+3</t>
  </si>
  <si>
    <t>cholestase</t>
  </si>
  <si>
    <t>28SA</t>
  </si>
  <si>
    <t>Decl prog</t>
  </si>
  <si>
    <t>nifedipine</t>
  </si>
  <si>
    <t>ut biciat</t>
  </si>
  <si>
    <t>29+2</t>
  </si>
  <si>
    <t>HTAC
PE</t>
  </si>
  <si>
    <t>28+5</t>
  </si>
  <si>
    <t>DT2
Hypothyroidie</t>
  </si>
  <si>
    <t>37+4</t>
  </si>
  <si>
    <t>37SA+4</t>
  </si>
  <si>
    <t>cs aux 
urgences pour HTA sans hospit</t>
  </si>
  <si>
    <t>RPM</t>
  </si>
  <si>
    <t>2 hospit pour
 HTA et suspicion PE</t>
  </si>
  <si>
    <t>hospit 
pour ARCF</t>
  </si>
  <si>
    <t>1 episode d 
ARCF</t>
  </si>
  <si>
    <t>PEC a 32SA pour DGID
Hopsit pour HTA
Reprise PEC a 36SA</t>
  </si>
  <si>
    <t>hospit 
pour asthme</t>
  </si>
  <si>
    <t>PEC a 28SA pour DGID + ATCD PE 
Hospit pour HTA
Reprise PEC a 35SA</t>
  </si>
  <si>
    <t>urg pour CU</t>
  </si>
  <si>
    <t>PE/RCIU/MFIU
SAPL</t>
  </si>
  <si>
    <t>hospit pour 
mise sous insuline a 32SA</t>
  </si>
  <si>
    <t>DGID
Thrombopénie</t>
  </si>
  <si>
    <t>hypothroidie</t>
  </si>
  <si>
    <t>1 hospit
pour MTR</t>
  </si>
  <si>
    <t>hospit 
pour MTR</t>
  </si>
  <si>
    <t>plq 130</t>
  </si>
  <si>
    <t>31+4</t>
  </si>
  <si>
    <t>asthme</t>
  </si>
  <si>
    <t>crise d asthme a 38SA</t>
  </si>
  <si>
    <t>1 hospit 
pour HTA</t>
  </si>
  <si>
    <t>hospi MAP 
et RCIU</t>
  </si>
  <si>
    <t>RPM
DGID</t>
  </si>
  <si>
    <t>30+5</t>
  </si>
  <si>
    <t>urg pour 
HTA et ARCF</t>
  </si>
  <si>
    <t>hospi HTA 
et ARCF</t>
  </si>
  <si>
    <t>28+1</t>
  </si>
  <si>
    <t>Hospit GHR</t>
  </si>
  <si>
    <t>P/C +</t>
  </si>
  <si>
    <t>hospit a 32SA pour suspicion PE
PE</t>
  </si>
  <si>
    <t>35+2</t>
  </si>
  <si>
    <t>RCIU
HTA</t>
  </si>
  <si>
    <t>PEC a 32SA pour DGID
Hopsit pour HTA
Reprise PEC a 34SA</t>
  </si>
  <si>
    <t>MFIU
PE</t>
  </si>
  <si>
    <t>hospit 
pour PE</t>
  </si>
  <si>
    <t>29+5</t>
  </si>
  <si>
    <t>Creat elevé</t>
  </si>
  <si>
    <t>creat stable</t>
  </si>
  <si>
    <t>Declt urg</t>
  </si>
  <si>
    <t>PTU 0,6/L</t>
  </si>
  <si>
    <t>PTU 0,4/L</t>
  </si>
  <si>
    <t>RCIU/PE</t>
  </si>
  <si>
    <t>IMC/HTA</t>
  </si>
  <si>
    <t>39+1</t>
  </si>
  <si>
    <t>2 hospit pour
MTR</t>
  </si>
  <si>
    <t>ATCD HTAG</t>
  </si>
  <si>
    <t>atcd RCIU</t>
  </si>
  <si>
    <t>2 Hospit 
pour HTA (30SA et 37SA)
2eme hospit pour Asthme 36SA</t>
  </si>
  <si>
    <t>40+1</t>
  </si>
  <si>
    <t>hospit pour 
PE</t>
  </si>
  <si>
    <t>Atcd PE/MFIU
SAPL</t>
  </si>
  <si>
    <t>trandate 
loxen</t>
  </si>
  <si>
    <t>trandate
loxen</t>
  </si>
  <si>
    <t>fenetre 
therapeutique</t>
  </si>
  <si>
    <t>thrombopénie
Plq 130</t>
  </si>
  <si>
    <t>atcd prema</t>
  </si>
  <si>
    <t>Loxen 
trandate</t>
  </si>
  <si>
    <t>atcd HRP</t>
  </si>
  <si>
    <t>34+3</t>
  </si>
  <si>
    <t>atcd HTAG
hypothyroidie</t>
  </si>
  <si>
    <t>amlodipine</t>
  </si>
  <si>
    <t>RCIU
DGID</t>
  </si>
  <si>
    <t>37+1</t>
  </si>
  <si>
    <t>atcd HRP/MFIU</t>
  </si>
  <si>
    <t>thrombopenie</t>
  </si>
  <si>
    <t>HTA/DGID</t>
  </si>
  <si>
    <t>HTAc + PTUc</t>
  </si>
  <si>
    <t>Cholestase
DGID
PAG</t>
  </si>
  <si>
    <t>DT2
RCIU*2</t>
  </si>
  <si>
    <t>2 hospit 
pour MAP</t>
  </si>
  <si>
    <t xml:space="preserve">
DT2
hypothyroidie</t>
  </si>
  <si>
    <t>HTAC
ATCD RCIU</t>
  </si>
  <si>
    <t>ATCD 
PE/RCIU</t>
  </si>
  <si>
    <t>loxen
aldomet
trandate</t>
  </si>
  <si>
    <t>plq 115</t>
  </si>
  <si>
    <t>ptu 0,7</t>
  </si>
  <si>
    <t>plq stable</t>
  </si>
  <si>
    <t>HTA maligne</t>
  </si>
  <si>
    <t>hospit pour 
diabete desequ</t>
  </si>
  <si>
    <t>HTAC
ATCD PE</t>
  </si>
  <si>
    <t>tricicat</t>
  </si>
  <si>
    <t>ATCD PE/HRP</t>
  </si>
  <si>
    <t>hospit
pour cytolyse et HTA</t>
  </si>
  <si>
    <t>hospit
GHR</t>
  </si>
  <si>
    <t>cytolyse</t>
  </si>
  <si>
    <t>MAP</t>
  </si>
  <si>
    <t>28+3</t>
  </si>
  <si>
    <t>1er hospit ARCF et HTA</t>
  </si>
  <si>
    <t>loxen 
trandate</t>
  </si>
  <si>
    <t>RCIU 28SA</t>
  </si>
  <si>
    <t>P/C+</t>
  </si>
  <si>
    <t>A/A limite</t>
  </si>
  <si>
    <t>eupressyl
Loxen</t>
  </si>
  <si>
    <t>HTA
DT2</t>
  </si>
  <si>
    <t>ano BIO</t>
  </si>
  <si>
    <t>thrrombopénie
plq 100</t>
  </si>
  <si>
    <t>36sa</t>
  </si>
  <si>
    <t>hospit
pour PE + ricu</t>
  </si>
  <si>
    <t>sfhta</t>
  </si>
  <si>
    <t>36+2</t>
  </si>
  <si>
    <t>SFHTA + rciu</t>
  </si>
  <si>
    <t>arcf</t>
  </si>
  <si>
    <t>27SA</t>
  </si>
  <si>
    <t>ARCF/PE</t>
  </si>
  <si>
    <t>HTA+ATCD</t>
  </si>
  <si>
    <t>PE
creat&gt;100</t>
  </si>
  <si>
    <t>TIU</t>
  </si>
  <si>
    <t>26+4</t>
  </si>
  <si>
    <t>ATCD PE</t>
  </si>
  <si>
    <t>declt urg
RCIU</t>
  </si>
  <si>
    <t>arret de 
croissance</t>
  </si>
  <si>
    <t>arret 
croissance</t>
  </si>
  <si>
    <t>SFHTA
Ano Bio</t>
  </si>
  <si>
    <t>1 cs urg 
pour HTA =&gt; RAD
hospit a 36SA</t>
  </si>
  <si>
    <t>HRP</t>
  </si>
  <si>
    <t>1 hospit a 32 pour PE
2 eme  hospit pour 
HTA severe</t>
  </si>
  <si>
    <t>HTAC+PE</t>
  </si>
  <si>
    <t>HTA non def</t>
  </si>
  <si>
    <t>prescription</t>
  </si>
  <si>
    <t>classification</t>
  </si>
  <si>
    <t>Age</t>
  </si>
  <si>
    <t>age moy</t>
  </si>
  <si>
    <t xml:space="preserve">extreme </t>
  </si>
  <si>
    <t>22-46</t>
  </si>
  <si>
    <t>pop</t>
  </si>
  <si>
    <t>enquete perinat</t>
  </si>
  <si>
    <t>enquete</t>
  </si>
  <si>
    <t>&gt;2</t>
  </si>
  <si>
    <t>0-6</t>
  </si>
  <si>
    <t>25-30</t>
  </si>
  <si>
    <t>&gt;30</t>
  </si>
  <si>
    <t>IMC moy</t>
  </si>
  <si>
    <t>18-59</t>
  </si>
  <si>
    <t>3 données manquantes</t>
  </si>
  <si>
    <t>20-25</t>
  </si>
  <si>
    <t>&lt;20</t>
  </si>
  <si>
    <t>singleton</t>
  </si>
  <si>
    <t>pathologies</t>
  </si>
  <si>
    <t>EGAL</t>
  </si>
  <si>
    <t xml:space="preserve">ATCD </t>
  </si>
  <si>
    <t>Diabete</t>
  </si>
  <si>
    <t>DT2 mody</t>
  </si>
  <si>
    <t>Nephropathie</t>
  </si>
  <si>
    <t>Cholestase
PAG</t>
  </si>
  <si>
    <t>PE/préma</t>
  </si>
  <si>
    <t xml:space="preserve">
PE</t>
  </si>
  <si>
    <t>HRP MFIU</t>
  </si>
  <si>
    <t>PE
HRP MFIU</t>
  </si>
  <si>
    <t>PE/MFIU</t>
  </si>
  <si>
    <t>PE/HRP</t>
  </si>
  <si>
    <t>prema</t>
  </si>
  <si>
    <t xml:space="preserve">Pe/Help
Préma </t>
  </si>
  <si>
    <t>PE
MFIU</t>
  </si>
  <si>
    <t>atcd obst</t>
  </si>
  <si>
    <t>motif 
declanchement</t>
  </si>
  <si>
    <t>pas de ttt</t>
  </si>
  <si>
    <t>insuline</t>
  </si>
  <si>
    <t>DT3</t>
  </si>
  <si>
    <t>w spont</t>
  </si>
  <si>
    <t>arret aldomet
 debut de grossesse</t>
  </si>
  <si>
    <t>DGID
HTA</t>
  </si>
  <si>
    <t>RCIU JA</t>
  </si>
  <si>
    <t>arret 
debut de grossesse</t>
  </si>
  <si>
    <t>bitherapie</t>
  </si>
  <si>
    <t>monotherapie</t>
  </si>
  <si>
    <t>tritherapie</t>
  </si>
  <si>
    <t>thrombopénie
 115</t>
  </si>
  <si>
    <t>1g/24</t>
  </si>
  <si>
    <t>hospit ARCF</t>
  </si>
  <si>
    <t>Hospi PTU</t>
  </si>
  <si>
    <t>hospit HTA</t>
  </si>
  <si>
    <t>Hospit RCIU</t>
  </si>
  <si>
    <t>Hospit  HTA</t>
  </si>
  <si>
    <t>hospit  MTR</t>
  </si>
  <si>
    <t>hospit  ARCF</t>
  </si>
  <si>
    <t>hospit ARCF HTA</t>
  </si>
  <si>
    <t>hospit PE</t>
  </si>
  <si>
    <t>hospit a 32SA pour suspicion PE</t>
  </si>
  <si>
    <t>Hospit PE</t>
  </si>
  <si>
    <t xml:space="preserve">Hospit PE </t>
  </si>
  <si>
    <t>hospit bio</t>
  </si>
  <si>
    <t>Hospit HTA</t>
  </si>
  <si>
    <t>Hospit MTR</t>
  </si>
  <si>
    <t>hospit PE + ricu</t>
  </si>
  <si>
    <t>acct prema</t>
  </si>
  <si>
    <t>ano Bio</t>
  </si>
  <si>
    <t>ano bio</t>
  </si>
  <si>
    <t>HTAc+dt2</t>
  </si>
  <si>
    <t>HTA + nephropathie</t>
  </si>
  <si>
    <t>moy</t>
  </si>
  <si>
    <t>30-39</t>
  </si>
  <si>
    <t xml:space="preserve">nephropathie </t>
  </si>
  <si>
    <t>2 Hospit 
pour HTA (30SA et 37SA)
3eme hospit pour Asthme 36SA</t>
  </si>
  <si>
    <t>59 dossiers RCF/2</t>
  </si>
  <si>
    <t>18 aux EF 1/sem</t>
  </si>
  <si>
    <t>1 PE suajoutée</t>
  </si>
  <si>
    <t>12 HTAG</t>
  </si>
  <si>
    <t>48 BRV/sem</t>
  </si>
  <si>
    <t>3 2BVR/sem</t>
  </si>
  <si>
    <t>4 2 BVR/mois</t>
  </si>
  <si>
    <t>4 BVR/mois</t>
  </si>
  <si>
    <t>moy =0,96/sem</t>
  </si>
  <si>
    <t>mono</t>
  </si>
  <si>
    <t>bi</t>
  </si>
  <si>
    <t>tri</t>
  </si>
  <si>
    <t>patho associées</t>
  </si>
  <si>
    <t xml:space="preserve">DT2 </t>
  </si>
  <si>
    <t xml:space="preserve">DGID </t>
  </si>
  <si>
    <t xml:space="preserve">DGNID </t>
  </si>
  <si>
    <t>nrphropathie</t>
  </si>
  <si>
    <t>4 BVR patho</t>
  </si>
  <si>
    <t>8 PTU +</t>
  </si>
  <si>
    <t>sortie</t>
  </si>
  <si>
    <t>terme entrée</t>
  </si>
  <si>
    <t>moy 30,61</t>
  </si>
  <si>
    <t>ext 27+2/36+3</t>
  </si>
  <si>
    <t xml:space="preserve">terme sortie </t>
  </si>
  <si>
    <t>moy 37,77</t>
  </si>
  <si>
    <t>extr 39+5/41</t>
  </si>
  <si>
    <t>durée moyenne HAD</t>
  </si>
  <si>
    <t>extr 3/86</t>
  </si>
  <si>
    <t>urg</t>
  </si>
  <si>
    <t>4 PE/2 ARCF/2 MTR/asthme/HTA/bio/RCIU</t>
  </si>
  <si>
    <t>evenements intercurrents</t>
  </si>
  <si>
    <t>hospit sans sortie</t>
  </si>
  <si>
    <t>cs urg RAD</t>
  </si>
  <si>
    <t>hospit reprise PEC</t>
  </si>
  <si>
    <t>moy 0,56</t>
  </si>
  <si>
    <t>ext 0-3</t>
  </si>
  <si>
    <t>tri passé a bi</t>
  </si>
  <si>
    <t>2 patiente monotherapie sont passé a bitherapie en HAD</t>
  </si>
  <si>
    <t>3 modif ttt</t>
  </si>
  <si>
    <t>entrée</t>
  </si>
  <si>
    <t>decouverte de 3 thrombopenies</t>
  </si>
  <si>
    <t>11 PTU +</t>
  </si>
  <si>
    <t>ajout path3</t>
  </si>
  <si>
    <t>BIO</t>
  </si>
  <si>
    <t>terme moyen</t>
  </si>
  <si>
    <t>extreme</t>
  </si>
  <si>
    <t>motifs</t>
  </si>
  <si>
    <t>36-40+1</t>
  </si>
  <si>
    <t>bio</t>
  </si>
  <si>
    <t>atcf mfiu</t>
  </si>
  <si>
    <t>diabete</t>
  </si>
  <si>
    <t>fenetre therapeutique</t>
  </si>
  <si>
    <t>ut cicat</t>
  </si>
  <si>
    <t>13 avant 37SA</t>
  </si>
  <si>
    <t>3 declt prog PE</t>
  </si>
  <si>
    <t>5 hospit PE</t>
  </si>
  <si>
    <t>1 ARCF</t>
  </si>
  <si>
    <t>1 HTA patho</t>
  </si>
  <si>
    <t>2 hospt MTR</t>
  </si>
  <si>
    <t>1 W spont</t>
  </si>
  <si>
    <t>delai hospit/acct</t>
  </si>
  <si>
    <t>pas de hospit en GHR
                                                                                                                                                                                                                                                                decl en urgence</t>
  </si>
  <si>
    <t>urg declt</t>
  </si>
  <si>
    <t>dont 1 prema</t>
  </si>
  <si>
    <t>hospit en urg</t>
  </si>
  <si>
    <t>extreme 3-59</t>
  </si>
  <si>
    <t>24,3jr en moy</t>
  </si>
  <si>
    <t xml:space="preserve">terme moyen </t>
  </si>
  <si>
    <t>extreme 30+2-38+4</t>
  </si>
  <si>
    <t>sortie avant 37SA</t>
  </si>
  <si>
    <t>motif hospit avec prise de PEC</t>
  </si>
  <si>
    <t>hospit sans reprise de PC</t>
  </si>
  <si>
    <t>4 declt en urg</t>
  </si>
  <si>
    <t>3 declt apres 1 sem</t>
  </si>
  <si>
    <t>1 donnée manquante</t>
  </si>
  <si>
    <t>1H pour pour PE, 2 hospit pour MTR</t>
  </si>
  <si>
    <t>colique nephretique</t>
  </si>
  <si>
    <t>suspicion PE</t>
  </si>
  <si>
    <t>(11 dossiers)</t>
  </si>
  <si>
    <t>Asthme</t>
  </si>
  <si>
    <t xml:space="preserve"> 11 dossiers</t>
  </si>
  <si>
    <t>5 declt prog pour la patho</t>
  </si>
  <si>
    <t>3 w spont apres 37SA</t>
  </si>
  <si>
    <t>dont 3 seront rehospit avant terme</t>
  </si>
  <si>
    <t>4 pathos recalifié entre HTAc/HTAG
suspicion PE infimé en HTAC</t>
  </si>
  <si>
    <t>argenetuil</t>
  </si>
  <si>
    <t>5 HTAG</t>
  </si>
  <si>
    <t>delaf</t>
  </si>
  <si>
    <t>3  HTAG</t>
  </si>
  <si>
    <t>1 HTAC</t>
  </si>
  <si>
    <t>montfermeil</t>
  </si>
  <si>
    <t>4  HTAG</t>
  </si>
  <si>
    <t>41 HTAC</t>
  </si>
  <si>
    <t>5PE</t>
  </si>
  <si>
    <t>8 HTAC</t>
  </si>
  <si>
    <t>6 PE</t>
  </si>
  <si>
    <t>21 HTAC</t>
  </si>
  <si>
    <t>11 HTAC</t>
  </si>
  <si>
    <t>terme moyen d entrée 33,1</t>
  </si>
  <si>
    <t>terme moyen sortie 36,17</t>
  </si>
  <si>
    <t>durnée moyenne 19,3</t>
  </si>
  <si>
    <t>issus</t>
  </si>
  <si>
    <t>3 declt prog</t>
  </si>
  <si>
    <t>3 hospit pour decgradation / HTA/ARCF</t>
  </si>
  <si>
    <t>dont 2 declt en urg
1 donnée inconnue</t>
  </si>
  <si>
    <t>patho prescrit</t>
  </si>
  <si>
    <t>HTAC reclassée</t>
  </si>
  <si>
    <t>HTAG reclassée</t>
  </si>
  <si>
    <t>terme moyen d entrée 30+1</t>
  </si>
  <si>
    <t>terme moyen sortie 38,11</t>
  </si>
  <si>
    <t>ext 29+5/41</t>
  </si>
  <si>
    <t>ext 27+6/35+4</t>
  </si>
  <si>
    <t>durnée moyenne 56,85</t>
  </si>
  <si>
    <t>ext 9/83</t>
  </si>
  <si>
    <t>22 declt prog</t>
  </si>
  <si>
    <t>5 hospit pour asthme /PE/MTR</t>
  </si>
  <si>
    <t>13 W spont</t>
  </si>
  <si>
    <t>13 DGID</t>
  </si>
  <si>
    <t>8 DGNID</t>
  </si>
  <si>
    <t>8 DT2</t>
  </si>
  <si>
    <t>1 RCIU</t>
  </si>
  <si>
    <t>1 MAP</t>
  </si>
  <si>
    <t>1 nephropathie</t>
  </si>
  <si>
    <t>100% IMC sup 25 ext (25/48)</t>
  </si>
  <si>
    <t>age moy 
35,7 (22/44)</t>
  </si>
  <si>
    <t>6 hospit avec reprise de PC + 1 passage aux urgeance savec RAD</t>
  </si>
  <si>
    <t>terme moyen d entrée 31,04</t>
  </si>
  <si>
    <t>terme moyen sortie 37,45</t>
  </si>
  <si>
    <t>ext 34+1/39+3</t>
  </si>
  <si>
    <t>ext 4/75</t>
  </si>
  <si>
    <t>7 declt prog</t>
  </si>
  <si>
    <t>2 W spont (1 prema</t>
  </si>
  <si>
    <t>4 hopist ARCF/PE/RCIU</t>
  </si>
  <si>
    <t>IMC moy 34,91 ext 22/47</t>
  </si>
  <si>
    <t>ajout patho 1 RCIU / 1 cholestase/ 2 PE</t>
  </si>
  <si>
    <t>100 % monotherapie puis 1 en bitherapie</t>
  </si>
  <si>
    <t>6 DGID / 2 DGNID /1DT2</t>
  </si>
  <si>
    <t>ajout patho 1 RCIU/2 PE/1 DGID</t>
  </si>
  <si>
    <t>population étude</t>
  </si>
  <si>
    <t>enquete perinatale</t>
  </si>
  <si>
    <t>population étudiée</t>
  </si>
  <si>
    <t>enquête périnatale</t>
  </si>
  <si>
    <t>Delafontaine</t>
  </si>
  <si>
    <t>Argenteuil</t>
  </si>
  <si>
    <t>Montermeil</t>
  </si>
  <si>
    <t>Pontoise</t>
  </si>
  <si>
    <t>patho/
mater</t>
  </si>
  <si>
    <t>total</t>
  </si>
  <si>
    <t>TOTAL</t>
  </si>
  <si>
    <t>age moey 35 (25/42</t>
  </si>
  <si>
    <t>35 dossiers RCF/3</t>
  </si>
  <si>
    <t>6 aux EF 1/sem</t>
  </si>
  <si>
    <t>2PE</t>
  </si>
  <si>
    <t>1 2BVR/sem</t>
  </si>
  <si>
    <t>3 BVR/mois</t>
  </si>
  <si>
    <t>31 BRV/sem</t>
  </si>
  <si>
    <t>NOTOK</t>
  </si>
  <si>
    <t>ok</t>
  </si>
  <si>
    <t>noto ok</t>
  </si>
  <si>
    <t>no</t>
  </si>
  <si>
    <t>3 pathos recalifié entre HTAc/HTAG</t>
  </si>
  <si>
    <t>3 patiente monotherapie sont passé a bitherapie en HAD</t>
  </si>
  <si>
    <t>3 thrombopenie
2 cytolyses</t>
  </si>
  <si>
    <t>2 PTU +</t>
  </si>
  <si>
    <t>3 bvr patho (thrombopénie ou cytolyse)</t>
  </si>
  <si>
    <t>sortie en + des patho connues</t>
  </si>
  <si>
    <t>ext 25+2/37+3</t>
  </si>
  <si>
    <t>moy 30,72</t>
  </si>
  <si>
    <t>moy 35,84</t>
  </si>
  <si>
    <t>extr 25+2/39+6</t>
  </si>
  <si>
    <t>extr 0/96</t>
  </si>
  <si>
    <t>declt en urg
RCIU</t>
  </si>
  <si>
    <t>pour HTA ou Diabete ou RCIU</t>
  </si>
  <si>
    <t>PE
declt prog</t>
  </si>
  <si>
    <t>4 ARCF/ 2 ano BIO / 3 HTA severe /2 MTR / 5 PE/3 RCIU / 1 SFHTA</t>
  </si>
  <si>
    <t>Hospit 3jr 
pour HTA + CU
2eme hospit HTA</t>
  </si>
  <si>
    <t>hospit PE
RCIU</t>
  </si>
  <si>
    <t>PTU+</t>
  </si>
  <si>
    <t>(7 dossiers)</t>
  </si>
  <si>
    <t>delai acct</t>
  </si>
  <si>
    <t>RCIU/PE
decl  en urg</t>
  </si>
  <si>
    <t>14 declt moins de 3jr 
(biais delai de declt,  dossier avec date de declt et date d accouchement)</t>
  </si>
  <si>
    <t>6 acct apres 5 jr (1 W spont, 1 declt prog, 4 declt en ugences</t>
  </si>
  <si>
    <t xml:space="preserve"> 7 dossiers</t>
  </si>
  <si>
    <t>1 w spont apres 37SA</t>
  </si>
  <si>
    <t>4 declt prog pour la patho</t>
  </si>
  <si>
    <t>fievre</t>
  </si>
  <si>
    <t>18 avant 37SA</t>
  </si>
  <si>
    <t>1 declt prog RCIU</t>
  </si>
  <si>
    <t>8 hospit PE</t>
  </si>
  <si>
    <t>2 ARCF</t>
  </si>
  <si>
    <t>3 HTA patho</t>
  </si>
  <si>
    <t>terme moyen 
sortie</t>
  </si>
  <si>
    <t>extreme 25+2-38+5</t>
  </si>
  <si>
    <t>extreme 0-96</t>
  </si>
  <si>
    <t>36jr en moy</t>
  </si>
  <si>
    <t>37+2-39+5</t>
  </si>
  <si>
    <t>diabete+HTA</t>
  </si>
  <si>
    <t>terme moyen d entrée 30+19</t>
  </si>
  <si>
    <t>ext 26/37+2</t>
  </si>
  <si>
    <t>terme moyen sortie 36,35</t>
  </si>
  <si>
    <t>ext 29/39+6</t>
  </si>
  <si>
    <t>ext 1/81</t>
  </si>
  <si>
    <t>durnée moyenne 43,21</t>
  </si>
  <si>
    <t>12 hospit pour HTA/PE/RCIU</t>
  </si>
  <si>
    <t>4 W spont</t>
  </si>
  <si>
    <t>dt 1 prema</t>
  </si>
  <si>
    <t>age moy 
36,43 (24/42)</t>
  </si>
  <si>
    <t>IMC
32,48 (24/59)</t>
  </si>
  <si>
    <t>5 DGID</t>
  </si>
  <si>
    <t>2 DGNID</t>
  </si>
  <si>
    <t>5 DT2 (dt1mody)</t>
  </si>
  <si>
    <t>4 RCIU</t>
  </si>
  <si>
    <t>ajout patho 3 RCIU/5 PE</t>
  </si>
  <si>
    <t>3 dossier BVR/mois</t>
  </si>
  <si>
    <t>3 BVR patho entrée</t>
  </si>
  <si>
    <t>8 pas d evenements intercurrents</t>
  </si>
  <si>
    <t>parité 0-4 moy 1,78</t>
  </si>
  <si>
    <t>11 monoT /10 BI/2 tri</t>
  </si>
  <si>
    <t>terme moyen d entrée 29,76</t>
  </si>
  <si>
    <t>ext 25+2/30+4</t>
  </si>
  <si>
    <t>terme moyen sortie 30+4</t>
  </si>
  <si>
    <t>ext 25+2/39+3</t>
  </si>
  <si>
    <t>durnée moyenne 20</t>
  </si>
  <si>
    <t>ext 0/96</t>
  </si>
  <si>
    <t>2 declt prog</t>
  </si>
  <si>
    <t>7 hopist ARCF/PE/RCIU</t>
  </si>
  <si>
    <t>IMC moy 30,5 ext 18/42</t>
  </si>
  <si>
    <t>age moey 35,3 (27/41</t>
  </si>
  <si>
    <t>1PMA</t>
  </si>
  <si>
    <t>2 PMA
1 gem</t>
  </si>
  <si>
    <t>100 % monotherapie</t>
  </si>
  <si>
    <t>ajout patho 3 RCIU / 3 PE</t>
  </si>
  <si>
    <t>5 DGID / 3 RCIU /2 RPM</t>
  </si>
  <si>
    <t>terme moyen d entrée 34,42 (35+5/33+1)</t>
  </si>
  <si>
    <t>terme moyen sortie 35,35  (33+6/36+6)</t>
  </si>
  <si>
    <t>durnée moyenne 5</t>
  </si>
  <si>
    <t>1 declt prog</t>
  </si>
  <si>
    <t>1 hospit pour decgradationPTU</t>
  </si>
  <si>
    <t>age moy 27</t>
  </si>
  <si>
    <t>IMC moy 27</t>
  </si>
  <si>
    <t>delai hospit acct</t>
  </si>
  <si>
    <t>18 dossiers RCF/7</t>
  </si>
  <si>
    <t>3 HTAC</t>
  </si>
  <si>
    <t>1 HTAG</t>
  </si>
  <si>
    <t>14 PE</t>
  </si>
  <si>
    <t>6 BRV/sem</t>
  </si>
  <si>
    <t>12= 2BVR/sem</t>
  </si>
  <si>
    <t>2 pathos recalifié entre HTA/PE</t>
  </si>
  <si>
    <t>1 PMA
2 gem spont</t>
  </si>
  <si>
    <t>3 patientes aux EF en parallele</t>
  </si>
  <si>
    <t>2 modif ttt</t>
  </si>
  <si>
    <t>a</t>
  </si>
  <si>
    <t>2 patiente monotherapie =
 1 arret ttt / 1 bitheraoie</t>
  </si>
  <si>
    <t>patho renale</t>
  </si>
  <si>
    <t>tt BVR nx</t>
  </si>
  <si>
    <t>3 bvr patho (iono ou cytolyse)</t>
  </si>
  <si>
    <t>moy 31,74</t>
  </si>
  <si>
    <t>ext 21+6/36+2</t>
  </si>
  <si>
    <t>moy 35,02</t>
  </si>
  <si>
    <t>extr 26/37+6</t>
  </si>
  <si>
    <t>extr 0/85</t>
  </si>
  <si>
    <t>dont 12prema</t>
  </si>
  <si>
    <t>ARCF/HTA/RCIU</t>
  </si>
  <si>
    <t>(3 dossiers)</t>
  </si>
  <si>
    <t>3 declt moins de 3jr 
(biais delai de declt,  dossier avec date de declt et date d accouchement)</t>
  </si>
  <si>
    <t>1 acct apres +1 sem hospit</t>
  </si>
  <si>
    <t>37/38</t>
  </si>
  <si>
    <t>11jr en moy</t>
  </si>
  <si>
    <t>extreme 0-29</t>
  </si>
  <si>
    <t>extreme 26/36</t>
  </si>
  <si>
    <t>total 22 dossiers</t>
  </si>
  <si>
    <t>montfermeuil</t>
  </si>
  <si>
    <t>age moyen</t>
  </si>
  <si>
    <t>(24/46)</t>
  </si>
  <si>
    <t>(0/5)</t>
  </si>
  <si>
    <t>(21/43)</t>
  </si>
  <si>
    <t>4 dossiers</t>
  </si>
  <si>
    <t>2 dossiers</t>
  </si>
  <si>
    <t>ATCD
2 HTAG
4 PE
1 MFIU</t>
  </si>
  <si>
    <t>diabete
5 DGID
5 DGNID
1 DT2</t>
  </si>
  <si>
    <t>patho associé
1 cholestase
4 RCIU
1 patho rénale</t>
  </si>
  <si>
    <t>Echo
4 RCIU
1 macrosomie</t>
  </si>
  <si>
    <t>(21+6/36+2)</t>
  </si>
  <si>
    <t>durnée moyenne</t>
  </si>
  <si>
    <t>(26/37+6)</t>
  </si>
  <si>
    <t>(0-85)</t>
  </si>
  <si>
    <t>ajout patho + 2 RCIU</t>
  </si>
  <si>
    <t>echo sortie
1 macrosomie
6 RCIU</t>
  </si>
  <si>
    <t>ttt</t>
  </si>
  <si>
    <t>8 apres 20SA</t>
  </si>
  <si>
    <t>14 mise en place ttt apres 20SA</t>
  </si>
  <si>
    <t>6 HTAC
prééclampsie surajoutée</t>
  </si>
  <si>
    <t>11 bitherapie</t>
  </si>
  <si>
    <t>10 monotherapie</t>
  </si>
  <si>
    <t>1 tritherapie</t>
  </si>
  <si>
    <t>2 cytolyses</t>
  </si>
  <si>
    <t>2 thrombopénie</t>
  </si>
  <si>
    <t>moins de 1g</t>
  </si>
  <si>
    <t>12 patientes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</si>
</sst>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0" borderId="0">
      <alignment wrapText="1"/>
    </xf>
    <xf numFmtId="0" fontId="4" fillId="0" borderId="0"/>
    <xf numFmtId="0" fontId="6" fillId="0" borderId="2" applyNumberFormat="0" applyFill="0" applyAlignment="0" applyProtection="0"/>
  </cellStyleXfs>
  <cellXfs count="201">
    <xf numFmtId="0" fontId="0" fillId="0" borderId="0" xfId="0"/>
    <xf numFmtId="0" fontId="2" fillId="4" borderId="1" xfId="2" applyNumberFormat="1" applyFont="1" applyFill="1" applyBorder="1" applyAlignment="1">
      <alignment horizontal="left" vertical="center" wrapText="1"/>
    </xf>
    <xf numFmtId="0" fontId="0" fillId="5" borderId="1" xfId="0" applyFill="1" applyBorder="1"/>
    <xf numFmtId="0" fontId="4" fillId="6" borderId="1" xfId="2" applyNumberFormat="1" applyFont="1" applyFill="1" applyBorder="1" applyAlignment="1">
      <alignment horizontal="center" vertical="center" wrapText="1"/>
    </xf>
    <xf numFmtId="0" fontId="4" fillId="7" borderId="1" xfId="0" applyFont="1" applyFill="1" applyBorder="1"/>
    <xf numFmtId="0" fontId="0" fillId="0" borderId="1" xfId="0" applyBorder="1"/>
    <xf numFmtId="0" fontId="0" fillId="8" borderId="1" xfId="0" applyFill="1" applyBorder="1"/>
    <xf numFmtId="0" fontId="0" fillId="3" borderId="1" xfId="0" applyFill="1" applyBorder="1"/>
    <xf numFmtId="0" fontId="0" fillId="11" borderId="1" xfId="0" applyFill="1" applyBorder="1"/>
    <xf numFmtId="0" fontId="0" fillId="0" borderId="1" xfId="0" applyFill="1" applyBorder="1"/>
    <xf numFmtId="0" fontId="4" fillId="10" borderId="1" xfId="0" applyFont="1" applyFill="1" applyBorder="1"/>
    <xf numFmtId="9" fontId="0" fillId="5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14" fontId="0" fillId="8" borderId="1" xfId="0" applyNumberFormat="1" applyFill="1" applyBorder="1"/>
    <xf numFmtId="0" fontId="7" fillId="0" borderId="1" xfId="0" applyFont="1" applyBorder="1"/>
    <xf numFmtId="0" fontId="8" fillId="0" borderId="1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wrapText="1"/>
    </xf>
    <xf numFmtId="0" fontId="7" fillId="3" borderId="1" xfId="0" applyFont="1" applyFill="1" applyBorder="1"/>
    <xf numFmtId="0" fontId="7" fillId="10" borderId="1" xfId="0" applyFont="1" applyFill="1" applyBorder="1"/>
    <xf numFmtId="0" fontId="7" fillId="9" borderId="1" xfId="0" applyFont="1" applyFill="1" applyBorder="1"/>
    <xf numFmtId="0" fontId="7" fillId="11" borderId="1" xfId="0" applyFont="1" applyFill="1" applyBorder="1"/>
    <xf numFmtId="0" fontId="7" fillId="11" borderId="1" xfId="0" applyFont="1" applyFill="1" applyBorder="1" applyAlignment="1">
      <alignment wrapText="1"/>
    </xf>
    <xf numFmtId="0" fontId="7" fillId="12" borderId="1" xfId="0" applyFont="1" applyFill="1" applyBorder="1"/>
    <xf numFmtId="0" fontId="0" fillId="0" borderId="3" xfId="0" applyBorder="1"/>
    <xf numFmtId="0" fontId="0" fillId="0" borderId="1" xfId="0" applyFill="1" applyBorder="1" applyAlignment="1">
      <alignment wrapText="1"/>
    </xf>
    <xf numFmtId="0" fontId="9" fillId="8" borderId="1" xfId="0" applyFont="1" applyFill="1" applyBorder="1"/>
    <xf numFmtId="0" fontId="0" fillId="8" borderId="1" xfId="0" applyFill="1" applyBorder="1" applyAlignment="1">
      <alignment wrapText="1"/>
    </xf>
    <xf numFmtId="0" fontId="7" fillId="3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3" applyNumberFormat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 wrapText="1"/>
    </xf>
    <xf numFmtId="0" fontId="4" fillId="7" borderId="1" xfId="2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2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6" borderId="1" xfId="0" applyFill="1" applyBorder="1" applyAlignment="1">
      <alignment horizontal="right"/>
    </xf>
    <xf numFmtId="0" fontId="7" fillId="12" borderId="1" xfId="0" applyFont="1" applyFill="1" applyBorder="1" applyAlignment="1">
      <alignment wrapText="1"/>
    </xf>
    <xf numFmtId="0" fontId="7" fillId="13" borderId="1" xfId="0" applyFont="1" applyFill="1" applyBorder="1"/>
    <xf numFmtId="0" fontId="0" fillId="13" borderId="1" xfId="0" applyFill="1" applyBorder="1" applyAlignment="1">
      <alignment wrapText="1"/>
    </xf>
    <xf numFmtId="0" fontId="7" fillId="0" borderId="4" xfId="0" applyFont="1" applyFill="1" applyBorder="1"/>
    <xf numFmtId="0" fontId="0" fillId="0" borderId="0" xfId="0" applyAlignment="1">
      <alignment wrapText="1"/>
    </xf>
    <xf numFmtId="0" fontId="0" fillId="14" borderId="1" xfId="0" applyFill="1" applyBorder="1"/>
    <xf numFmtId="0" fontId="7" fillId="8" borderId="1" xfId="0" applyFont="1" applyFill="1" applyBorder="1"/>
    <xf numFmtId="3" fontId="0" fillId="8" borderId="1" xfId="0" applyNumberFormat="1" applyFill="1" applyBorder="1"/>
    <xf numFmtId="0" fontId="0" fillId="11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16" fontId="0" fillId="8" borderId="1" xfId="0" applyNumberFormat="1" applyFill="1" applyBorder="1"/>
    <xf numFmtId="0" fontId="0" fillId="0" borderId="1" xfId="0" applyNumberFormat="1" applyFill="1" applyBorder="1"/>
    <xf numFmtId="0" fontId="0" fillId="0" borderId="1" xfId="0" applyNumberFormat="1" applyBorder="1"/>
    <xf numFmtId="0" fontId="0" fillId="13" borderId="1" xfId="0" applyFill="1" applyBorder="1"/>
    <xf numFmtId="14" fontId="0" fillId="13" borderId="1" xfId="0" applyNumberFormat="1" applyFill="1" applyBorder="1"/>
    <xf numFmtId="14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/>
    <xf numFmtId="0" fontId="2" fillId="8" borderId="1" xfId="2" applyNumberFormat="1" applyFont="1" applyFill="1" applyBorder="1" applyAlignment="1">
      <alignment horizontal="left" vertical="center" wrapText="1"/>
    </xf>
    <xf numFmtId="0" fontId="4" fillId="8" borderId="1" xfId="2" applyNumberFormat="1" applyFont="1" applyFill="1" applyBorder="1" applyAlignment="1">
      <alignment horizontal="center" vertical="center" wrapText="1"/>
    </xf>
    <xf numFmtId="0" fontId="4" fillId="8" borderId="1" xfId="3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wrapText="1"/>
    </xf>
    <xf numFmtId="0" fontId="5" fillId="8" borderId="1" xfId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right"/>
    </xf>
    <xf numFmtId="0" fontId="0" fillId="3" borderId="0" xfId="0" applyFill="1" applyBorder="1"/>
    <xf numFmtId="0" fontId="0" fillId="11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7" xfId="0" applyFill="1" applyBorder="1"/>
    <xf numFmtId="0" fontId="0" fillId="3" borderId="8" xfId="0" applyFill="1" applyBorder="1"/>
    <xf numFmtId="0" fontId="0" fillId="0" borderId="1" xfId="0" applyBorder="1" applyAlignment="1">
      <alignment horizontal="right"/>
    </xf>
    <xf numFmtId="0" fontId="0" fillId="0" borderId="13" xfId="0" applyFill="1" applyBorder="1"/>
    <xf numFmtId="0" fontId="0" fillId="0" borderId="4" xfId="0" applyFill="1" applyBorder="1" applyAlignment="1">
      <alignment horizontal="right"/>
    </xf>
    <xf numFmtId="0" fontId="0" fillId="6" borderId="1" xfId="0" applyFill="1" applyBorder="1"/>
    <xf numFmtId="0" fontId="7" fillId="13" borderId="4" xfId="0" applyFont="1" applyFill="1" applyBorder="1"/>
    <xf numFmtId="0" fontId="0" fillId="10" borderId="0" xfId="0" applyFill="1"/>
    <xf numFmtId="0" fontId="7" fillId="13" borderId="1" xfId="0" applyFont="1" applyFill="1" applyBorder="1" applyAlignment="1">
      <alignment wrapText="1"/>
    </xf>
    <xf numFmtId="2" fontId="0" fillId="0" borderId="1" xfId="0" applyNumberFormat="1" applyBorder="1"/>
    <xf numFmtId="2" fontId="0" fillId="11" borderId="1" xfId="0" applyNumberFormat="1" applyFill="1" applyBorder="1"/>
    <xf numFmtId="2" fontId="0" fillId="0" borderId="1" xfId="0" applyNumberFormat="1" applyFill="1" applyBorder="1"/>
    <xf numFmtId="2" fontId="0" fillId="8" borderId="1" xfId="0" applyNumberFormat="1" applyFill="1" applyBorder="1"/>
    <xf numFmtId="14" fontId="0" fillId="11" borderId="1" xfId="0" applyNumberFormat="1" applyFill="1" applyBorder="1"/>
    <xf numFmtId="2" fontId="0" fillId="13" borderId="1" xfId="0" applyNumberFormat="1" applyFill="1" applyBorder="1"/>
    <xf numFmtId="0" fontId="0" fillId="15" borderId="1" xfId="0" applyFill="1" applyBorder="1"/>
    <xf numFmtId="14" fontId="0" fillId="15" borderId="1" xfId="0" applyNumberFormat="1" applyFill="1" applyBorder="1"/>
    <xf numFmtId="0" fontId="7" fillId="15" borderId="1" xfId="0" applyFont="1" applyFill="1" applyBorder="1"/>
    <xf numFmtId="2" fontId="0" fillId="15" borderId="1" xfId="0" applyNumberFormat="1" applyFill="1" applyBorder="1"/>
    <xf numFmtId="0" fontId="0" fillId="15" borderId="1" xfId="0" applyFill="1" applyBorder="1" applyAlignment="1">
      <alignment wrapText="1"/>
    </xf>
    <xf numFmtId="0" fontId="0" fillId="15" borderId="1" xfId="0" applyNumberFormat="1" applyFill="1" applyBorder="1"/>
    <xf numFmtId="3" fontId="0" fillId="15" borderId="1" xfId="0" applyNumberFormat="1" applyFill="1" applyBorder="1"/>
    <xf numFmtId="0" fontId="0" fillId="13" borderId="0" xfId="0" applyFill="1" applyBorder="1"/>
    <xf numFmtId="0" fontId="0" fillId="0" borderId="14" xfId="0" applyBorder="1"/>
    <xf numFmtId="0" fontId="4" fillId="13" borderId="1" xfId="3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right"/>
    </xf>
    <xf numFmtId="0" fontId="4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/>
    <xf numFmtId="0" fontId="4" fillId="13" borderId="1" xfId="2" applyNumberFormat="1" applyFont="1" applyFill="1" applyBorder="1" applyAlignment="1">
      <alignment horizontal="center" vertical="center" wrapText="1"/>
    </xf>
    <xf numFmtId="14" fontId="0" fillId="16" borderId="1" xfId="0" applyNumberFormat="1" applyFill="1" applyBorder="1"/>
    <xf numFmtId="2" fontId="0" fillId="0" borderId="14" xfId="0" applyNumberFormat="1" applyBorder="1"/>
    <xf numFmtId="2" fontId="0" fillId="0" borderId="1" xfId="0" applyNumberFormat="1" applyBorder="1" applyAlignment="1">
      <alignment horizontal="right"/>
    </xf>
    <xf numFmtId="0" fontId="0" fillId="15" borderId="0" xfId="0" applyFill="1" applyBorder="1"/>
    <xf numFmtId="0" fontId="0" fillId="8" borderId="0" xfId="0" applyFill="1" applyBorder="1"/>
    <xf numFmtId="0" fontId="0" fillId="13" borderId="0" xfId="0" applyFill="1"/>
    <xf numFmtId="14" fontId="0" fillId="15" borderId="0" xfId="0" applyNumberForma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13" borderId="15" xfId="0" applyFill="1" applyBorder="1"/>
    <xf numFmtId="0" fontId="0" fillId="13" borderId="19" xfId="0" applyFill="1" applyBorder="1"/>
    <xf numFmtId="0" fontId="0" fillId="13" borderId="21" xfId="0" applyFill="1" applyBorder="1"/>
    <xf numFmtId="0" fontId="0" fillId="13" borderId="24" xfId="0" applyFill="1" applyBorder="1"/>
    <xf numFmtId="0" fontId="0" fillId="13" borderId="16" xfId="0" applyFill="1" applyBorder="1"/>
    <xf numFmtId="0" fontId="0" fillId="16" borderId="19" xfId="0" applyFill="1" applyBorder="1"/>
    <xf numFmtId="0" fontId="0" fillId="0" borderId="0" xfId="0" applyFill="1" applyBorder="1"/>
    <xf numFmtId="0" fontId="0" fillId="16" borderId="19" xfId="0" applyFill="1" applyBorder="1" applyAlignment="1">
      <alignment wrapText="1"/>
    </xf>
    <xf numFmtId="0" fontId="7" fillId="0" borderId="0" xfId="0" applyFont="1" applyBorder="1"/>
    <xf numFmtId="0" fontId="9" fillId="8" borderId="1" xfId="0" applyFont="1" applyFill="1" applyBorder="1" applyAlignment="1">
      <alignment wrapText="1"/>
    </xf>
    <xf numFmtId="0" fontId="0" fillId="8" borderId="0" xfId="0" applyFill="1"/>
    <xf numFmtId="2" fontId="0" fillId="8" borderId="1" xfId="0" applyNumberFormat="1" applyFill="1" applyBorder="1" applyAlignment="1">
      <alignment horizontal="right"/>
    </xf>
    <xf numFmtId="0" fontId="0" fillId="0" borderId="19" xfId="0" applyFill="1" applyBorder="1"/>
    <xf numFmtId="0" fontId="0" fillId="0" borderId="17" xfId="0" applyFill="1" applyBorder="1"/>
    <xf numFmtId="0" fontId="0" fillId="0" borderId="27" xfId="0" applyFill="1" applyBorder="1"/>
    <xf numFmtId="0" fontId="0" fillId="0" borderId="27" xfId="0" applyBorder="1" applyAlignment="1">
      <alignment wrapText="1"/>
    </xf>
    <xf numFmtId="0" fontId="0" fillId="0" borderId="15" xfId="0" applyFill="1" applyBorder="1"/>
    <xf numFmtId="0" fontId="0" fillId="0" borderId="24" xfId="0" applyBorder="1" applyAlignment="1">
      <alignment wrapText="1"/>
    </xf>
    <xf numFmtId="0" fontId="0" fillId="5" borderId="1" xfId="0" applyFill="1" applyBorder="1" applyAlignment="1">
      <alignment horizontal="left"/>
    </xf>
    <xf numFmtId="0" fontId="0" fillId="5" borderId="15" xfId="0" applyFill="1" applyBorder="1"/>
    <xf numFmtId="0" fontId="0" fillId="5" borderId="16" xfId="0" applyFill="1" applyBorder="1"/>
    <xf numFmtId="0" fontId="0" fillId="16" borderId="15" xfId="0" applyFill="1" applyBorder="1"/>
    <xf numFmtId="0" fontId="0" fillId="16" borderId="16" xfId="0" applyFill="1" applyBorder="1"/>
    <xf numFmtId="0" fontId="0" fillId="17" borderId="17" xfId="0" applyFill="1" applyBorder="1"/>
    <xf numFmtId="0" fontId="0" fillId="0" borderId="18" xfId="0" applyBorder="1" applyAlignment="1">
      <alignment wrapText="1"/>
    </xf>
    <xf numFmtId="0" fontId="0" fillId="0" borderId="29" xfId="0" applyBorder="1"/>
    <xf numFmtId="0" fontId="0" fillId="5" borderId="7" xfId="0" applyFill="1" applyBorder="1" applyAlignment="1">
      <alignment wrapText="1"/>
    </xf>
    <xf numFmtId="0" fontId="0" fillId="5" borderId="9" xfId="0" applyFill="1" applyBorder="1"/>
    <xf numFmtId="0" fontId="0" fillId="5" borderId="11" xfId="0" applyFill="1" applyBorder="1"/>
    <xf numFmtId="0" fontId="0" fillId="5" borderId="28" xfId="0" applyFill="1" applyBorder="1"/>
    <xf numFmtId="0" fontId="0" fillId="5" borderId="8" xfId="0" applyFill="1" applyBorder="1"/>
    <xf numFmtId="0" fontId="0" fillId="16" borderId="17" xfId="0" applyFill="1" applyBorder="1"/>
    <xf numFmtId="0" fontId="0" fillId="16" borderId="18" xfId="0" applyFill="1" applyBorder="1"/>
    <xf numFmtId="0" fontId="0" fillId="16" borderId="20" xfId="0" applyFill="1" applyBorder="1"/>
    <xf numFmtId="2" fontId="0" fillId="16" borderId="1" xfId="0" applyNumberFormat="1" applyFill="1" applyBorder="1"/>
    <xf numFmtId="0" fontId="0" fillId="16" borderId="0" xfId="0" applyFill="1"/>
    <xf numFmtId="0" fontId="0" fillId="15" borderId="0" xfId="0" applyFill="1" applyBorder="1" applyAlignment="1">
      <alignment wrapText="1"/>
    </xf>
    <xf numFmtId="0" fontId="0" fillId="8" borderId="6" xfId="0" applyFill="1" applyBorder="1"/>
    <xf numFmtId="2" fontId="0" fillId="8" borderId="6" xfId="0" applyNumberFormat="1" applyFill="1" applyBorder="1"/>
    <xf numFmtId="2" fontId="7" fillId="8" borderId="1" xfId="0" applyNumberFormat="1" applyFont="1" applyFill="1" applyBorder="1"/>
    <xf numFmtId="0" fontId="0" fillId="8" borderId="1" xfId="0" applyNumberFormat="1" applyFill="1" applyBorder="1"/>
    <xf numFmtId="0" fontId="0" fillId="16" borderId="1" xfId="0" applyFill="1" applyBorder="1"/>
    <xf numFmtId="2" fontId="7" fillId="16" borderId="1" xfId="0" applyNumberFormat="1" applyFont="1" applyFill="1" applyBorder="1"/>
    <xf numFmtId="0" fontId="0" fillId="8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4" fillId="16" borderId="1" xfId="0" applyFont="1" applyFill="1" applyBorder="1" applyAlignment="1">
      <alignment horizontal="center" vertical="center" wrapText="1"/>
    </xf>
    <xf numFmtId="0" fontId="4" fillId="16" borderId="1" xfId="0" applyFont="1" applyFill="1" applyBorder="1"/>
    <xf numFmtId="0" fontId="0" fillId="16" borderId="0" xfId="0" applyFill="1" applyBorder="1"/>
    <xf numFmtId="0" fontId="7" fillId="16" borderId="4" xfId="0" applyFont="1" applyFill="1" applyBorder="1"/>
    <xf numFmtId="0" fontId="0" fillId="18" borderId="21" xfId="0" applyFill="1" applyBorder="1"/>
    <xf numFmtId="0" fontId="0" fillId="18" borderId="22" xfId="0" applyFill="1" applyBorder="1"/>
    <xf numFmtId="0" fontId="0" fillId="18" borderId="23" xfId="0" applyFill="1" applyBorder="1"/>
    <xf numFmtId="0" fontId="0" fillId="18" borderId="0" xfId="0" applyFill="1"/>
    <xf numFmtId="0" fontId="0" fillId="18" borderId="0" xfId="0" applyFill="1" applyAlignment="1">
      <alignment wrapText="1"/>
    </xf>
    <xf numFmtId="0" fontId="0" fillId="18" borderId="15" xfId="0" applyFill="1" applyBorder="1"/>
    <xf numFmtId="0" fontId="0" fillId="18" borderId="24" xfId="0" applyFill="1" applyBorder="1"/>
    <xf numFmtId="0" fontId="0" fillId="18" borderId="16" xfId="0" applyFill="1" applyBorder="1"/>
    <xf numFmtId="0" fontId="0" fillId="18" borderId="0" xfId="0" applyFill="1" applyBorder="1"/>
    <xf numFmtId="0" fontId="0" fillId="18" borderId="1" xfId="0" applyFill="1" applyBorder="1" applyAlignment="1">
      <alignment wrapText="1"/>
    </xf>
    <xf numFmtId="0" fontId="7" fillId="18" borderId="0" xfId="0" applyFont="1" applyFill="1" applyBorder="1"/>
    <xf numFmtId="0" fontId="0" fillId="18" borderId="17" xfId="0" applyFill="1" applyBorder="1"/>
    <xf numFmtId="0" fontId="0" fillId="18" borderId="18" xfId="0" applyFill="1" applyBorder="1"/>
    <xf numFmtId="0" fontId="0" fillId="18" borderId="19" xfId="0" applyFill="1" applyBorder="1"/>
    <xf numFmtId="0" fontId="0" fillId="18" borderId="20" xfId="0" applyFill="1" applyBorder="1"/>
    <xf numFmtId="0" fontId="0" fillId="18" borderId="1" xfId="0" applyFill="1" applyBorder="1"/>
    <xf numFmtId="0" fontId="0" fillId="18" borderId="25" xfId="0" applyFill="1" applyBorder="1"/>
    <xf numFmtId="0" fontId="0" fillId="18" borderId="26" xfId="0" applyFill="1" applyBorder="1"/>
    <xf numFmtId="0" fontId="0" fillId="18" borderId="27" xfId="0" applyFill="1" applyBorder="1"/>
    <xf numFmtId="2" fontId="0" fillId="0" borderId="0" xfId="0" applyNumberFormat="1"/>
    <xf numFmtId="0" fontId="0" fillId="18" borderId="19" xfId="0" applyFill="1" applyBorder="1" applyAlignment="1">
      <alignment wrapText="1"/>
    </xf>
    <xf numFmtId="0" fontId="7" fillId="13" borderId="0" xfId="0" applyFont="1" applyFill="1" applyBorder="1" applyAlignment="1">
      <alignment wrapText="1"/>
    </xf>
    <xf numFmtId="14" fontId="0" fillId="13" borderId="0" xfId="0" applyNumberFormat="1" applyFill="1" applyBorder="1"/>
    <xf numFmtId="0" fontId="0" fillId="18" borderId="17" xfId="0" applyFill="1" applyBorder="1" applyAlignment="1">
      <alignment wrapText="1"/>
    </xf>
    <xf numFmtId="0" fontId="0" fillId="18" borderId="18" xfId="0" applyFill="1" applyBorder="1" applyAlignment="1">
      <alignment wrapText="1"/>
    </xf>
    <xf numFmtId="0" fontId="7" fillId="8" borderId="4" xfId="0" applyFont="1" applyFill="1" applyBorder="1"/>
    <xf numFmtId="2" fontId="0" fillId="8" borderId="14" xfId="0" applyNumberFormat="1" applyFill="1" applyBorder="1"/>
    <xf numFmtId="0" fontId="0" fillId="13" borderId="3" xfId="0" applyFill="1" applyBorder="1"/>
    <xf numFmtId="14" fontId="0" fillId="8" borderId="5" xfId="0" applyNumberFormat="1" applyFill="1" applyBorder="1"/>
    <xf numFmtId="2" fontId="0" fillId="8" borderId="0" xfId="0" applyNumberFormat="1" applyFill="1"/>
    <xf numFmtId="0" fontId="0" fillId="18" borderId="0" xfId="0" applyFill="1" applyBorder="1" applyAlignment="1">
      <alignment wrapText="1"/>
    </xf>
    <xf numFmtId="0" fontId="6" fillId="0" borderId="2" xfId="4" applyAlignment="1">
      <alignment horizontal="center"/>
    </xf>
  </cellXfs>
  <cellStyles count="5">
    <cellStyle name="Neutre" xfId="1" builtinId="28"/>
    <cellStyle name="Normal" xfId="0" builtinId="0"/>
    <cellStyle name="Normal 2" xfId="3" xr:uid="{8A20FD04-39D9-47A3-9FE2-9FD79617A67E}"/>
    <cellStyle name="Titre 1" xfId="4" builtinId="16"/>
    <cellStyle name="WorksheetAlignementStyle" xfId="2" xr:uid="{7CBBFF01-1BCB-45C8-9729-29EF21C80393}"/>
  </cellStyles>
  <dxfs count="1"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66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Repartition</a:t>
            </a:r>
            <a:r>
              <a:rPr lang="fr-FR" baseline="0"/>
              <a:t> des pathologies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0B-43C6-8B8C-371E2768E7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0B-43C6-8B8C-371E2768E7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0B-43C6-8B8C-371E2768E7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0B-43C6-8B8C-371E2768E722}"/>
              </c:ext>
            </c:extLst>
          </c:dPt>
          <c:cat>
            <c:multiLvlStrRef>
              <c:f>population!$E$1:$H$2</c:f>
              <c:multiLvlStrCache>
                <c:ptCount val="4"/>
                <c:lvl>
                  <c:pt idx="0">
                    <c:v>HTAC</c:v>
                  </c:pt>
                  <c:pt idx="1">
                    <c:v>HTAC+PE</c:v>
                  </c:pt>
                  <c:pt idx="2">
                    <c:v>HTAG</c:v>
                  </c:pt>
                  <c:pt idx="3">
                    <c:v>PE</c:v>
                  </c:pt>
                </c:lvl>
                <c:lvl>
                  <c:pt idx="0">
                    <c:v>pathologies</c:v>
                  </c:pt>
                </c:lvl>
              </c:multiLvlStrCache>
            </c:multiLvlStrRef>
          </c:cat>
          <c:val>
            <c:numRef>
              <c:f>population!$E$3:$H$3</c:f>
              <c:numCache>
                <c:formatCode>General</c:formatCode>
                <c:ptCount val="4"/>
                <c:pt idx="0">
                  <c:v>61</c:v>
                </c:pt>
                <c:pt idx="1">
                  <c:v>9</c:v>
                </c:pt>
                <c:pt idx="2">
                  <c:v>25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1-426E-9C32-ECDB2DBCF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ATCD</a:t>
            </a:r>
            <a:r>
              <a:rPr lang="fr-FR" baseline="0"/>
              <a:t> obstétricaux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population!$A$74:$A$79</c:f>
              <c:strCache>
                <c:ptCount val="6"/>
                <c:pt idx="0">
                  <c:v>PE</c:v>
                </c:pt>
                <c:pt idx="1">
                  <c:v>HTAG</c:v>
                </c:pt>
                <c:pt idx="2">
                  <c:v>MFIU</c:v>
                </c:pt>
                <c:pt idx="3">
                  <c:v>RCIU</c:v>
                </c:pt>
                <c:pt idx="4">
                  <c:v>HRP</c:v>
                </c:pt>
                <c:pt idx="5">
                  <c:v>prema</c:v>
                </c:pt>
              </c:strCache>
            </c:strRef>
          </c:cat>
          <c:val>
            <c:numRef>
              <c:f>population!$C$74:$C$79</c:f>
              <c:numCache>
                <c:formatCode>General</c:formatCode>
                <c:ptCount val="6"/>
                <c:pt idx="0">
                  <c:v>24.778761061946902</c:v>
                </c:pt>
                <c:pt idx="1">
                  <c:v>5.3097345132743365</c:v>
                </c:pt>
                <c:pt idx="2">
                  <c:v>8.8495575221238933</c:v>
                </c:pt>
                <c:pt idx="3">
                  <c:v>6.1946902654867255</c:v>
                </c:pt>
                <c:pt idx="4">
                  <c:v>4.4247787610619467</c:v>
                </c:pt>
                <c:pt idx="5">
                  <c:v>2.6548672566371683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D-415D-95A5-D1A2481F2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787375"/>
        <c:axId val="1359469455"/>
      </c:barChart>
      <c:catAx>
        <c:axId val="160178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9469455"/>
        <c:crosses val="autoZero"/>
        <c:auto val="1"/>
        <c:lblAlgn val="ctr"/>
        <c:lblOffset val="100"/>
        <c:noMultiLvlLbl val="0"/>
      </c:catAx>
      <c:valAx>
        <c:axId val="135946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178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maternel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567825896762904E-2"/>
          <c:y val="0.13004629629629633"/>
          <c:w val="0.85721062992125985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v>population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population!$A$18:$A$20</c:f>
              <c:strCache>
                <c:ptCount val="3"/>
                <c:pt idx="0">
                  <c:v>&lt;35</c:v>
                </c:pt>
                <c:pt idx="1">
                  <c:v>35-39</c:v>
                </c:pt>
                <c:pt idx="2">
                  <c:v>&gt;40</c:v>
                </c:pt>
              </c:strCache>
            </c:strRef>
          </c:cat>
          <c:val>
            <c:numRef>
              <c:f>population!$B$18:$B$20</c:f>
              <c:numCache>
                <c:formatCode>General</c:formatCode>
                <c:ptCount val="3"/>
                <c:pt idx="0">
                  <c:v>3.5398230088495577</c:v>
                </c:pt>
                <c:pt idx="1">
                  <c:v>38.053097345132741</c:v>
                </c:pt>
                <c:pt idx="2">
                  <c:v>23.893805309734514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4192-90A6-6085BBC769F9}"/>
            </c:ext>
          </c:extLst>
        </c:ser>
        <c:ser>
          <c:idx val="1"/>
          <c:order val="1"/>
          <c:tx>
            <c:v>enquète périnatale 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population!$A$18:$A$20</c:f>
              <c:strCache>
                <c:ptCount val="3"/>
                <c:pt idx="0">
                  <c:v>&lt;35</c:v>
                </c:pt>
                <c:pt idx="1">
                  <c:v>35-39</c:v>
                </c:pt>
                <c:pt idx="2">
                  <c:v>&gt;40</c:v>
                </c:pt>
              </c:strCache>
            </c:strRef>
          </c:cat>
          <c:val>
            <c:numRef>
              <c:f>population!$C$18:$C$20</c:f>
              <c:numCache>
                <c:formatCode>General</c:formatCode>
                <c:ptCount val="3"/>
                <c:pt idx="0">
                  <c:v>75.5</c:v>
                </c:pt>
                <c:pt idx="1">
                  <c:v>19.100000000000001</c:v>
                </c:pt>
                <c:pt idx="2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B-4192-90A6-6085BBC76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8896944"/>
        <c:axId val="1118979344"/>
      </c:barChart>
      <c:catAx>
        <c:axId val="111889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8979344"/>
        <c:crosses val="autoZero"/>
        <c:auto val="1"/>
        <c:lblAlgn val="ctr"/>
        <c:lblOffset val="100"/>
        <c:noMultiLvlLbl val="0"/>
      </c:catAx>
      <c:valAx>
        <c:axId val="111897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889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population!$B$25:$B$26</c:f>
              <c:strCache>
                <c:ptCount val="2"/>
                <c:pt idx="0">
                  <c:v>parité</c:v>
                </c:pt>
                <c:pt idx="1">
                  <c:v>pop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population!$A$27:$A$29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&gt;2</c:v>
                </c:pt>
              </c:strCache>
            </c:strRef>
          </c:cat>
          <c:val>
            <c:numRef>
              <c:f>population!$B$27:$B$29</c:f>
              <c:numCache>
                <c:formatCode>General</c:formatCode>
                <c:ptCount val="3"/>
                <c:pt idx="0">
                  <c:v>24.778761061946902</c:v>
                </c:pt>
                <c:pt idx="1">
                  <c:v>31.100917431192663</c:v>
                </c:pt>
                <c:pt idx="2">
                  <c:v>57.018348623853207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B-4030-A7BA-2A471E809A0E}"/>
            </c:ext>
          </c:extLst>
        </c:ser>
        <c:ser>
          <c:idx val="1"/>
          <c:order val="1"/>
          <c:tx>
            <c:strRef>
              <c:f>population!$C$25:$C$26</c:f>
              <c:strCache>
                <c:ptCount val="2"/>
                <c:pt idx="0">
                  <c:v>parité</c:v>
                </c:pt>
                <c:pt idx="1">
                  <c:v>enquete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population!$A$27:$A$29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&gt;2</c:v>
                </c:pt>
              </c:strCache>
            </c:strRef>
          </c:cat>
          <c:val>
            <c:numRef>
              <c:f>population!$C$27:$C$29</c:f>
              <c:numCache>
                <c:formatCode>General</c:formatCode>
                <c:ptCount val="3"/>
                <c:pt idx="0">
                  <c:v>41.3</c:v>
                </c:pt>
                <c:pt idx="1">
                  <c:v>35.1</c:v>
                </c:pt>
                <c:pt idx="2">
                  <c:v>23.600000000000009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B-4030-A7BA-2A471E80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5526560"/>
        <c:axId val="1394863056"/>
      </c:barChart>
      <c:catAx>
        <c:axId val="139552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4863056"/>
        <c:crosses val="autoZero"/>
        <c:auto val="1"/>
        <c:lblAlgn val="ctr"/>
        <c:lblOffset val="100"/>
        <c:noMultiLvlLbl val="0"/>
      </c:catAx>
      <c:valAx>
        <c:axId val="139486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55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 l'IMC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population!$F$33</c:f>
              <c:strCache>
                <c:ptCount val="1"/>
                <c:pt idx="0">
                  <c:v>population étudiée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population!$E$34:$E$39</c:f>
              <c:strCache>
                <c:ptCount val="6"/>
                <c:pt idx="0">
                  <c:v>&lt;20</c:v>
                </c:pt>
                <c:pt idx="1">
                  <c:v>20-25</c:v>
                </c:pt>
                <c:pt idx="2">
                  <c:v>25-30</c:v>
                </c:pt>
                <c:pt idx="3">
                  <c:v>30-39</c:v>
                </c:pt>
                <c:pt idx="4">
                  <c:v>&gt;40</c:v>
                </c:pt>
                <c:pt idx="5">
                  <c:v>NC</c:v>
                </c:pt>
              </c:strCache>
            </c:strRef>
          </c:cat>
          <c:val>
            <c:numRef>
              <c:f>population!$F$34:$F$39</c:f>
              <c:numCache>
                <c:formatCode>General</c:formatCode>
                <c:ptCount val="6"/>
                <c:pt idx="0">
                  <c:v>0.88495575221238942</c:v>
                </c:pt>
                <c:pt idx="1">
                  <c:v>9.7345132743362832</c:v>
                </c:pt>
                <c:pt idx="2">
                  <c:v>27.43362831858407</c:v>
                </c:pt>
                <c:pt idx="3">
                  <c:v>44.247787610619469</c:v>
                </c:pt>
                <c:pt idx="4">
                  <c:v>15.044247787610619</c:v>
                </c:pt>
                <c:pt idx="5">
                  <c:v>2.6548672566371683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2-4DD5-A2E6-2C522987831C}"/>
            </c:ext>
          </c:extLst>
        </c:ser>
        <c:ser>
          <c:idx val="1"/>
          <c:order val="1"/>
          <c:tx>
            <c:strRef>
              <c:f>population!$G$33</c:f>
              <c:strCache>
                <c:ptCount val="1"/>
                <c:pt idx="0">
                  <c:v>enquête périnatale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population!$E$34:$E$39</c:f>
              <c:strCache>
                <c:ptCount val="6"/>
                <c:pt idx="0">
                  <c:v>&lt;20</c:v>
                </c:pt>
                <c:pt idx="1">
                  <c:v>20-25</c:v>
                </c:pt>
                <c:pt idx="2">
                  <c:v>25-30</c:v>
                </c:pt>
                <c:pt idx="3">
                  <c:v>30-39</c:v>
                </c:pt>
                <c:pt idx="4">
                  <c:v>&gt;40</c:v>
                </c:pt>
                <c:pt idx="5">
                  <c:v>NC</c:v>
                </c:pt>
              </c:strCache>
            </c:strRef>
          </c:cat>
          <c:val>
            <c:numRef>
              <c:f>population!$G$34:$G$39</c:f>
              <c:numCache>
                <c:formatCode>General</c:formatCode>
                <c:ptCount val="6"/>
                <c:pt idx="2">
                  <c:v>23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2-4DD5-A2E6-2C5229878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58639"/>
        <c:axId val="506916735"/>
      </c:barChart>
      <c:catAx>
        <c:axId val="53915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6916735"/>
        <c:crosses val="autoZero"/>
        <c:auto val="1"/>
        <c:lblAlgn val="ctr"/>
        <c:lblOffset val="100"/>
        <c:noMultiLvlLbl val="0"/>
      </c:catAx>
      <c:valAx>
        <c:axId val="5069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915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maternel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59-497D-8FBD-1ADB2709F3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59-497D-8FBD-1ADB2709F3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59-497D-8FBD-1ADB2709F39B}"/>
              </c:ext>
            </c:extLst>
          </c:dPt>
          <c:cat>
            <c:strRef>
              <c:f>population!$A$18:$A$20</c:f>
              <c:strCache>
                <c:ptCount val="3"/>
                <c:pt idx="0">
                  <c:v>&lt;35</c:v>
                </c:pt>
                <c:pt idx="1">
                  <c:v>35-39</c:v>
                </c:pt>
                <c:pt idx="2">
                  <c:v>&gt;40</c:v>
                </c:pt>
              </c:strCache>
            </c:strRef>
          </c:cat>
          <c:val>
            <c:numRef>
              <c:f>population!$B$18:$B$20</c:f>
              <c:numCache>
                <c:formatCode>General</c:formatCode>
                <c:ptCount val="3"/>
                <c:pt idx="0">
                  <c:v>3.5398230088495577</c:v>
                </c:pt>
                <c:pt idx="1">
                  <c:v>38.053097345132741</c:v>
                </c:pt>
                <c:pt idx="2">
                  <c:v>23.893805309734514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5-4464-9EBE-97C3B90AD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4-4EE9-A750-3C0D39DB81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4-4EE9-A750-3C0D39DB81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E4-4EE9-A750-3C0D39DB819A}"/>
              </c:ext>
            </c:extLst>
          </c:dPt>
          <c:cat>
            <c:strRef>
              <c:f>population!$A$27:$A$29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&gt;2</c:v>
                </c:pt>
              </c:strCache>
            </c:strRef>
          </c:cat>
          <c:val>
            <c:numRef>
              <c:f>population!$B$27:$B$29</c:f>
              <c:numCache>
                <c:formatCode>General</c:formatCode>
                <c:ptCount val="3"/>
                <c:pt idx="0">
                  <c:v>24.778761061946902</c:v>
                </c:pt>
                <c:pt idx="1">
                  <c:v>31.100917431192663</c:v>
                </c:pt>
                <c:pt idx="2">
                  <c:v>57.018348623853207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4-4816-A0B5-074144E0F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population!$F$33</c:f>
              <c:strCache>
                <c:ptCount val="1"/>
                <c:pt idx="0">
                  <c:v>population étudiée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19-4646-952D-ACCE1D99EEAF}"/>
              </c:ext>
            </c:extLst>
          </c:dPt>
          <c:dPt>
            <c:idx val="1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19-4646-952D-ACCE1D99EEAF}"/>
              </c:ext>
            </c:extLst>
          </c:dPt>
          <c:dPt>
            <c:idx val="2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19-4646-952D-ACCE1D99EEAF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19-4646-952D-ACCE1D99EEAF}"/>
              </c:ext>
            </c:extLst>
          </c:dPt>
          <c:dPt>
            <c:idx val="4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19-4646-952D-ACCE1D99EEAF}"/>
              </c:ext>
            </c:extLst>
          </c:dPt>
          <c:dPt>
            <c:idx val="5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19-4646-952D-ACCE1D99EEAF}"/>
              </c:ext>
            </c:extLst>
          </c:dPt>
          <c:cat>
            <c:strRef>
              <c:f>population!$E$34:$E$39</c:f>
              <c:strCache>
                <c:ptCount val="6"/>
                <c:pt idx="0">
                  <c:v>&lt;20</c:v>
                </c:pt>
                <c:pt idx="1">
                  <c:v>20-25</c:v>
                </c:pt>
                <c:pt idx="2">
                  <c:v>25-30</c:v>
                </c:pt>
                <c:pt idx="3">
                  <c:v>30-39</c:v>
                </c:pt>
                <c:pt idx="4">
                  <c:v>&gt;40</c:v>
                </c:pt>
                <c:pt idx="5">
                  <c:v>NC</c:v>
                </c:pt>
              </c:strCache>
            </c:strRef>
          </c:cat>
          <c:val>
            <c:numRef>
              <c:f>population!$F$34:$F$39</c:f>
              <c:numCache>
                <c:formatCode>General</c:formatCode>
                <c:ptCount val="6"/>
                <c:pt idx="0">
                  <c:v>0.88495575221238942</c:v>
                </c:pt>
                <c:pt idx="1">
                  <c:v>9.7345132743362832</c:v>
                </c:pt>
                <c:pt idx="2">
                  <c:v>27.43362831858407</c:v>
                </c:pt>
                <c:pt idx="3">
                  <c:v>44.247787610619469</c:v>
                </c:pt>
                <c:pt idx="4">
                  <c:v>15.044247787610619</c:v>
                </c:pt>
                <c:pt idx="5">
                  <c:v>2.6548672566371683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3-472F-BCEF-8EC1A93B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3A-469B-8D18-B1DC8B203628}"/>
              </c:ext>
            </c:extLst>
          </c:dPt>
          <c:dPt>
            <c:idx val="1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3A-469B-8D18-B1DC8B203628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3A-469B-8D18-B1DC8B203628}"/>
              </c:ext>
            </c:extLst>
          </c:dPt>
          <c:dPt>
            <c:idx val="3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3A-469B-8D18-B1DC8B203628}"/>
              </c:ext>
            </c:extLst>
          </c:dPt>
          <c:dPt>
            <c:idx val="4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83A-469B-8D18-B1DC8B2036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population!$A$36:$A$40</c:f>
              <c:strCache>
                <c:ptCount val="5"/>
                <c:pt idx="0">
                  <c:v>&lt;20</c:v>
                </c:pt>
                <c:pt idx="1">
                  <c:v>20-25</c:v>
                </c:pt>
                <c:pt idx="2">
                  <c:v>25-30</c:v>
                </c:pt>
                <c:pt idx="3">
                  <c:v>&gt;30</c:v>
                </c:pt>
                <c:pt idx="4">
                  <c:v>NC</c:v>
                </c:pt>
              </c:strCache>
            </c:strRef>
          </c:cat>
          <c:val>
            <c:numRef>
              <c:f>population!$B$36:$B$40</c:f>
              <c:numCache>
                <c:formatCode>General</c:formatCode>
                <c:ptCount val="5"/>
                <c:pt idx="0">
                  <c:v>0.88495575221238942</c:v>
                </c:pt>
                <c:pt idx="1">
                  <c:v>9.7345132743362832</c:v>
                </c:pt>
                <c:pt idx="2">
                  <c:v>32.137614678899084</c:v>
                </c:pt>
                <c:pt idx="3">
                  <c:v>69.458715596330279</c:v>
                </c:pt>
                <c:pt idx="4">
                  <c:v>2.7522935779816518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2-4299-9642-6694D044375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BA-45CA-9A22-252B1AE56C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BA-45CA-9A22-252B1AE56C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population!$A$49:$A$50</c:f>
              <c:strCache>
                <c:ptCount val="2"/>
                <c:pt idx="0">
                  <c:v>PMA</c:v>
                </c:pt>
                <c:pt idx="1">
                  <c:v>spont</c:v>
                </c:pt>
              </c:strCache>
            </c:strRef>
          </c:cat>
          <c:val>
            <c:numRef>
              <c:f>population!$B$49:$B$50</c:f>
              <c:numCache>
                <c:formatCode>General</c:formatCode>
                <c:ptCount val="2"/>
                <c:pt idx="0">
                  <c:v>8.8495575221238933</c:v>
                </c:pt>
                <c:pt idx="1">
                  <c:v>91.150442477876098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0-4CC4-AF56-2C91E73906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Grossesse multiples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B7-41E9-B191-158C819609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B7-41E9-B191-158C819609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population!$A$53:$A$54</c:f>
              <c:strCache>
                <c:ptCount val="2"/>
                <c:pt idx="0">
                  <c:v>gem</c:v>
                </c:pt>
                <c:pt idx="1">
                  <c:v>singleton</c:v>
                </c:pt>
              </c:strCache>
            </c:strRef>
          </c:cat>
          <c:val>
            <c:numRef>
              <c:f>population!$B$53:$B$54</c:f>
              <c:numCache>
                <c:formatCode>General</c:formatCode>
                <c:ptCount val="2"/>
                <c:pt idx="0">
                  <c:v>4.4247787610619467</c:v>
                </c:pt>
                <c:pt idx="1">
                  <c:v>95.575221238938056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F-4D36-A264-7B2482580C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Diabete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population!$A$60:$A$63</c:f>
              <c:strCache>
                <c:ptCount val="4"/>
                <c:pt idx="0">
                  <c:v>non</c:v>
                </c:pt>
                <c:pt idx="1">
                  <c:v>DGNID</c:v>
                </c:pt>
                <c:pt idx="2">
                  <c:v>DGID</c:v>
                </c:pt>
                <c:pt idx="3">
                  <c:v>DT2</c:v>
                </c:pt>
              </c:strCache>
            </c:strRef>
          </c:cat>
          <c:val>
            <c:numRef>
              <c:f>population!$B$60:$B$63</c:f>
              <c:numCache>
                <c:formatCode>General</c:formatCode>
                <c:ptCount val="4"/>
                <c:pt idx="0">
                  <c:v>42.201834862385319</c:v>
                </c:pt>
                <c:pt idx="1">
                  <c:v>15.044247787610619</c:v>
                </c:pt>
                <c:pt idx="2">
                  <c:v>30.973451327433626</c:v>
                </c:pt>
                <c:pt idx="3">
                  <c:v>13.274336283185841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7-4888-80DA-AE5DE29D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3529087"/>
        <c:axId val="1182742991"/>
      </c:barChart>
      <c:catAx>
        <c:axId val="160352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2742991"/>
        <c:crosses val="autoZero"/>
        <c:auto val="1"/>
        <c:lblAlgn val="ctr"/>
        <c:lblOffset val="100"/>
        <c:noMultiLvlLbl val="0"/>
      </c:catAx>
      <c:valAx>
        <c:axId val="11827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352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Pathologies</a:t>
            </a:r>
            <a:r>
              <a:rPr lang="fr-FR" baseline="0"/>
              <a:t> associées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population!$A$67:$A$70</c:f>
              <c:strCache>
                <c:ptCount val="4"/>
                <c:pt idx="0">
                  <c:v>cholestase</c:v>
                </c:pt>
                <c:pt idx="1">
                  <c:v>MAP</c:v>
                </c:pt>
                <c:pt idx="2">
                  <c:v>RCIU</c:v>
                </c:pt>
                <c:pt idx="3">
                  <c:v>RPM</c:v>
                </c:pt>
              </c:strCache>
            </c:strRef>
          </c:cat>
          <c:val>
            <c:numRef>
              <c:f>population!$C$67:$C$70</c:f>
              <c:numCache>
                <c:formatCode>General</c:formatCode>
                <c:ptCount val="4"/>
                <c:pt idx="0">
                  <c:v>0.88495575221238942</c:v>
                </c:pt>
                <c:pt idx="1">
                  <c:v>1.7699115044247788</c:v>
                </c:pt>
                <c:pt idx="2">
                  <c:v>11.504424778761061</c:v>
                </c:pt>
                <c:pt idx="3">
                  <c:v>1.7699115044247788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E-4123-A527-10850705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136831"/>
        <c:axId val="1186392367"/>
      </c:barChart>
      <c:catAx>
        <c:axId val="138013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392367"/>
        <c:crosses val="autoZero"/>
        <c:auto val="1"/>
        <c:lblAlgn val="ctr"/>
        <c:lblOffset val="100"/>
        <c:noMultiLvlLbl val="0"/>
      </c:catAx>
      <c:valAx>
        <c:axId val="11863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013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300037</xdr:colOff>
      <xdr:row>0</xdr:row>
      <xdr:rowOff>109537</xdr:rowOff>
    </xdr:from>
    <xdr:to>
      <xdr:col>14</xdr:col>
      <xdr:colOff>300037</xdr:colOff>
      <xdr:row>14</xdr:row>
      <xdr:rowOff>176212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C74778A-ADE6-41B6-93AB-C3319F87E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452437</xdr:colOff>
      <xdr:row>0</xdr:row>
      <xdr:rowOff>90487</xdr:rowOff>
    </xdr:from>
    <xdr:to>
      <xdr:col>20</xdr:col>
      <xdr:colOff>452437</xdr:colOff>
      <xdr:row>14</xdr:row>
      <xdr:rowOff>157162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A3D080-D16E-41BB-8F5A-971CD9752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528637</xdr:colOff>
      <xdr:row>0</xdr:row>
      <xdr:rowOff>109537</xdr:rowOff>
    </xdr:from>
    <xdr:to>
      <xdr:col>26</xdr:col>
      <xdr:colOff>528637</xdr:colOff>
      <xdr:row>14</xdr:row>
      <xdr:rowOff>176212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5C97B32-F555-409D-A2CA-D68B7C2FE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290512</xdr:colOff>
      <xdr:row>15</xdr:row>
      <xdr:rowOff>128587</xdr:rowOff>
    </xdr:from>
    <xdr:to>
      <xdr:col>14</xdr:col>
      <xdr:colOff>290512</xdr:colOff>
      <xdr:row>29</xdr:row>
      <xdr:rowOff>195262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FDDD85D-178F-4F0E-948B-33AFD0712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309562</xdr:colOff>
      <xdr:row>15</xdr:row>
      <xdr:rowOff>100012</xdr:rowOff>
    </xdr:from>
    <xdr:to>
      <xdr:col>20</xdr:col>
      <xdr:colOff>309562</xdr:colOff>
      <xdr:row>29</xdr:row>
      <xdr:rowOff>166687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A67D988-810C-45EE-816D-54BA28FD3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300037</xdr:colOff>
      <xdr:row>30</xdr:row>
      <xdr:rowOff>166687</xdr:rowOff>
    </xdr:from>
    <xdr:to>
      <xdr:col>14</xdr:col>
      <xdr:colOff>300037</xdr:colOff>
      <xdr:row>45</xdr:row>
      <xdr:rowOff>42862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0F8EF6C-7459-4FFD-A6D6-3B008A55E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490537</xdr:colOff>
      <xdr:row>30</xdr:row>
      <xdr:rowOff>147637</xdr:rowOff>
    </xdr:from>
    <xdr:to>
      <xdr:col>20</xdr:col>
      <xdr:colOff>490537</xdr:colOff>
      <xdr:row>45</xdr:row>
      <xdr:rowOff>23812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BFC169C-87A4-485F-9AFF-08C46509F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228600</xdr:colOff>
      <xdr:row>48</xdr:row>
      <xdr:rowOff>4762</xdr:rowOff>
    </xdr:from>
    <xdr:to>
      <xdr:col>14</xdr:col>
      <xdr:colOff>228600</xdr:colOff>
      <xdr:row>62</xdr:row>
      <xdr:rowOff>80962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DBF3960-71FB-4730-AA1C-DFC40A7AA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385762</xdr:colOff>
      <xdr:row>47</xdr:row>
      <xdr:rowOff>61912</xdr:rowOff>
    </xdr:from>
    <xdr:to>
      <xdr:col>20</xdr:col>
      <xdr:colOff>385762</xdr:colOff>
      <xdr:row>61</xdr:row>
      <xdr:rowOff>138112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9C895394-2D3D-4F30-AD07-DFCEB371B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280987</xdr:colOff>
      <xdr:row>63</xdr:row>
      <xdr:rowOff>166687</xdr:rowOff>
    </xdr:from>
    <xdr:to>
      <xdr:col>14</xdr:col>
      <xdr:colOff>280987</xdr:colOff>
      <xdr:row>78</xdr:row>
      <xdr:rowOff>52387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97CE3393-09C7-47CE-A184-EC05015B9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523875</xdr:colOff>
      <xdr:row>15</xdr:row>
      <xdr:rowOff>23812</xdr:rowOff>
    </xdr:from>
    <xdr:to>
      <xdr:col>26</xdr:col>
      <xdr:colOff>523875</xdr:colOff>
      <xdr:row>29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D541FFA-8F71-42AB-AF54-2CC874D63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42862</xdr:colOff>
      <xdr:row>30</xdr:row>
      <xdr:rowOff>4762</xdr:rowOff>
    </xdr:from>
    <xdr:to>
      <xdr:col>27</xdr:col>
      <xdr:colOff>42862</xdr:colOff>
      <xdr:row>44</xdr:row>
      <xdr:rowOff>71437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A0A9C718-92D3-4D52-83E0-C3B0B4C49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114300</xdr:colOff>
      <xdr:row>5</xdr:row>
      <xdr:rowOff>109537</xdr:rowOff>
    </xdr:from>
    <xdr:to>
      <xdr:col>9</xdr:col>
      <xdr:colOff>114300</xdr:colOff>
      <xdr:row>19</xdr:row>
      <xdr:rowOff>176212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8FFF751-4F1A-47A8-80EF-15D2C1C17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6FB4-3B01-4F69-B13D-FB7FC9BBB639}">
  <dimension ref="A1:K37"/>
  <sheetViews>
    <sheetView workbookViewId="0">
      <selection activeCell="F10" sqref="F10"/>
    </sheetView>
  </sheetViews>
  <sheetFormatPr baseColWidth="10" defaultRowHeight="15" x14ac:dyDescent="0.25"/>
  <sheetData>
    <row r="1" spans="1:11" ht="20.25" thickBot="1" x14ac:dyDescent="0.35">
      <c r="A1" s="200" t="s">
        <v>42</v>
      </c>
      <c r="B1" s="200"/>
      <c r="C1" s="200"/>
    </row>
    <row r="2" spans="1:11" ht="15.75" thickTop="1" x14ac:dyDescent="0.25">
      <c r="A2" s="2" t="s">
        <v>10</v>
      </c>
      <c r="B2" s="2" t="s">
        <v>43</v>
      </c>
      <c r="C2" s="2" t="s">
        <v>267</v>
      </c>
    </row>
    <row r="3" spans="1:11" x14ac:dyDescent="0.25">
      <c r="A3" s="5"/>
      <c r="B3" s="5">
        <v>19.100000000000001</v>
      </c>
      <c r="C3" s="5">
        <v>5.4</v>
      </c>
    </row>
    <row r="4" spans="1:11" x14ac:dyDescent="0.25">
      <c r="A4" s="2" t="s">
        <v>12</v>
      </c>
      <c r="B4" s="2" t="s">
        <v>44</v>
      </c>
      <c r="C4" s="2" t="s">
        <v>45</v>
      </c>
    </row>
    <row r="5" spans="1:11" x14ac:dyDescent="0.25">
      <c r="A5" s="5"/>
      <c r="B5" s="5">
        <v>23</v>
      </c>
      <c r="C5" s="5">
        <v>14</v>
      </c>
    </row>
    <row r="6" spans="1:11" x14ac:dyDescent="0.25">
      <c r="A6" s="2" t="s">
        <v>11</v>
      </c>
      <c r="B6" s="2">
        <v>1</v>
      </c>
      <c r="C6" s="2">
        <v>2</v>
      </c>
    </row>
    <row r="7" spans="1:11" x14ac:dyDescent="0.25">
      <c r="A7" s="5"/>
      <c r="B7" s="5">
        <v>41.3</v>
      </c>
      <c r="C7" s="5">
        <v>35.1</v>
      </c>
    </row>
    <row r="16" spans="1:11" x14ac:dyDescent="0.25">
      <c r="A16" t="s">
        <v>46</v>
      </c>
      <c r="J16" s="2" t="s">
        <v>66</v>
      </c>
      <c r="K16" s="11">
        <v>0.04</v>
      </c>
    </row>
    <row r="17" spans="1:11" x14ac:dyDescent="0.25">
      <c r="A17" t="s">
        <v>47</v>
      </c>
      <c r="J17" s="2"/>
      <c r="K17" s="2"/>
    </row>
    <row r="18" spans="1:11" x14ac:dyDescent="0.25">
      <c r="J18" s="2"/>
      <c r="K18" s="2"/>
    </row>
    <row r="19" spans="1:11" x14ac:dyDescent="0.25">
      <c r="A19" t="s">
        <v>48</v>
      </c>
      <c r="J19" s="2" t="s">
        <v>62</v>
      </c>
      <c r="K19" s="2" t="s">
        <v>63</v>
      </c>
    </row>
    <row r="20" spans="1:11" x14ac:dyDescent="0.25">
      <c r="A20" t="s">
        <v>49</v>
      </c>
      <c r="J20" s="2" t="s">
        <v>64</v>
      </c>
      <c r="K20" s="2">
        <v>2.6</v>
      </c>
    </row>
    <row r="21" spans="1:11" x14ac:dyDescent="0.25">
      <c r="A21" t="s">
        <v>50</v>
      </c>
      <c r="J21" s="2" t="s">
        <v>5</v>
      </c>
      <c r="K21" s="2" t="s">
        <v>63</v>
      </c>
    </row>
    <row r="22" spans="1:11" x14ac:dyDescent="0.25">
      <c r="A22" t="s">
        <v>51</v>
      </c>
      <c r="J22" s="2" t="s">
        <v>65</v>
      </c>
      <c r="K22" s="2">
        <v>1.2</v>
      </c>
    </row>
    <row r="23" spans="1:11" x14ac:dyDescent="0.25">
      <c r="A23" t="s">
        <v>52</v>
      </c>
      <c r="J23" s="2" t="s">
        <v>72</v>
      </c>
      <c r="K23" s="2">
        <v>16.399999999999999</v>
      </c>
    </row>
    <row r="24" spans="1:11" x14ac:dyDescent="0.25">
      <c r="A24" t="s">
        <v>53</v>
      </c>
      <c r="J24" s="2"/>
      <c r="K24" s="2"/>
    </row>
    <row r="25" spans="1:11" x14ac:dyDescent="0.25">
      <c r="J25" s="2"/>
      <c r="K25" s="2"/>
    </row>
    <row r="26" spans="1:11" x14ac:dyDescent="0.25">
      <c r="A26" t="s">
        <v>54</v>
      </c>
      <c r="J26" s="2" t="s">
        <v>6</v>
      </c>
      <c r="K26" s="2">
        <v>4.3</v>
      </c>
    </row>
    <row r="27" spans="1:11" x14ac:dyDescent="0.25">
      <c r="A27" t="s">
        <v>55</v>
      </c>
      <c r="J27" s="2" t="s">
        <v>67</v>
      </c>
      <c r="K27" s="2">
        <v>2.2999999999999998</v>
      </c>
    </row>
    <row r="28" spans="1:11" x14ac:dyDescent="0.25">
      <c r="A28" t="s">
        <v>56</v>
      </c>
      <c r="J28" s="2" t="s">
        <v>68</v>
      </c>
      <c r="K28" s="2">
        <v>38.1</v>
      </c>
    </row>
    <row r="29" spans="1:11" x14ac:dyDescent="0.25">
      <c r="A29" t="s">
        <v>57</v>
      </c>
      <c r="J29" s="2" t="s">
        <v>69</v>
      </c>
      <c r="K29" s="2">
        <v>41.8</v>
      </c>
    </row>
    <row r="30" spans="1:11" x14ac:dyDescent="0.25">
      <c r="J30" s="2"/>
      <c r="K30" s="2"/>
    </row>
    <row r="31" spans="1:11" x14ac:dyDescent="0.25">
      <c r="A31" t="s">
        <v>58</v>
      </c>
      <c r="J31" s="2" t="s">
        <v>70</v>
      </c>
      <c r="K31" s="2">
        <v>5.2</v>
      </c>
    </row>
    <row r="32" spans="1:11" x14ac:dyDescent="0.25">
      <c r="A32" t="s">
        <v>59</v>
      </c>
      <c r="J32" s="2" t="s">
        <v>71</v>
      </c>
      <c r="K32" s="2">
        <v>8.6999999999999993</v>
      </c>
    </row>
    <row r="33" spans="1:11" x14ac:dyDescent="0.25">
      <c r="A33" t="s">
        <v>60</v>
      </c>
      <c r="J33" s="2"/>
      <c r="K33" s="2"/>
    </row>
    <row r="34" spans="1:11" x14ac:dyDescent="0.25">
      <c r="A34" t="s">
        <v>61</v>
      </c>
      <c r="J34" s="2"/>
      <c r="K34" s="2"/>
    </row>
    <row r="35" spans="1:11" x14ac:dyDescent="0.25">
      <c r="J35" s="2" t="s">
        <v>73</v>
      </c>
      <c r="K35" s="2">
        <v>1.7</v>
      </c>
    </row>
    <row r="36" spans="1:11" x14ac:dyDescent="0.25">
      <c r="J36" s="2"/>
      <c r="K36" s="2"/>
    </row>
    <row r="37" spans="1:11" x14ac:dyDescent="0.25">
      <c r="J37" s="2" t="s">
        <v>74</v>
      </c>
      <c r="K37" s="2">
        <f>100-93.3</f>
        <v>6.7000000000000028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F42C-2B30-4A45-B64A-4C26B6A5B8E4}">
  <dimension ref="A1:AN66"/>
  <sheetViews>
    <sheetView topLeftCell="A58" workbookViewId="0">
      <selection activeCell="K82" sqref="K82"/>
    </sheetView>
  </sheetViews>
  <sheetFormatPr baseColWidth="10" defaultRowHeight="15" x14ac:dyDescent="0.25"/>
  <sheetData>
    <row r="1" spans="1:40" ht="90" x14ac:dyDescent="0.25">
      <c r="A1" s="28" t="s">
        <v>0</v>
      </c>
      <c r="B1" s="18" t="s">
        <v>1</v>
      </c>
      <c r="C1" s="18" t="s">
        <v>36</v>
      </c>
      <c r="D1" s="18" t="s">
        <v>40</v>
      </c>
      <c r="E1" s="18" t="s">
        <v>2</v>
      </c>
      <c r="F1" s="18" t="s">
        <v>37</v>
      </c>
      <c r="G1" s="19" t="s">
        <v>29</v>
      </c>
      <c r="H1" s="19" t="s">
        <v>126</v>
      </c>
      <c r="I1" s="19" t="s">
        <v>11</v>
      </c>
      <c r="J1" s="19" t="s">
        <v>12</v>
      </c>
      <c r="K1" s="19" t="s">
        <v>13</v>
      </c>
      <c r="L1" s="19" t="s">
        <v>35</v>
      </c>
      <c r="M1" s="19" t="s">
        <v>534</v>
      </c>
      <c r="N1" s="19" t="s">
        <v>535</v>
      </c>
      <c r="O1" s="19" t="s">
        <v>15</v>
      </c>
      <c r="P1" s="20" t="s">
        <v>38</v>
      </c>
      <c r="Q1" s="20" t="s">
        <v>16</v>
      </c>
      <c r="R1" s="20" t="s">
        <v>17</v>
      </c>
      <c r="S1" s="20" t="s">
        <v>18</v>
      </c>
      <c r="T1" s="21" t="s">
        <v>25</v>
      </c>
      <c r="U1" s="22" t="s">
        <v>33</v>
      </c>
      <c r="V1" s="22" t="s">
        <v>75</v>
      </c>
      <c r="W1" s="21" t="s">
        <v>26</v>
      </c>
      <c r="X1" s="21" t="s">
        <v>27</v>
      </c>
      <c r="Y1" s="21" t="s">
        <v>28</v>
      </c>
      <c r="Z1" s="21" t="s">
        <v>34</v>
      </c>
      <c r="AA1" s="23" t="s">
        <v>32</v>
      </c>
      <c r="AB1" s="23" t="s">
        <v>19</v>
      </c>
      <c r="AC1" s="23" t="s">
        <v>20</v>
      </c>
      <c r="AD1" s="23" t="s">
        <v>21</v>
      </c>
      <c r="AE1" s="23" t="s">
        <v>22</v>
      </c>
      <c r="AF1" s="38" t="s">
        <v>255</v>
      </c>
      <c r="AG1" s="38" t="s">
        <v>256</v>
      </c>
      <c r="AH1" s="23" t="s">
        <v>41</v>
      </c>
      <c r="AI1" s="23" t="s">
        <v>26</v>
      </c>
      <c r="AJ1" s="23" t="s">
        <v>31</v>
      </c>
      <c r="AK1" s="23" t="s">
        <v>91</v>
      </c>
      <c r="AL1" s="39" t="s">
        <v>254</v>
      </c>
      <c r="AM1" s="39" t="s">
        <v>265</v>
      </c>
      <c r="AN1" s="79" t="s">
        <v>549</v>
      </c>
    </row>
    <row r="2" spans="1:40" x14ac:dyDescent="0.25">
      <c r="A2" s="57">
        <v>518318</v>
      </c>
      <c r="B2" s="58" t="s">
        <v>8</v>
      </c>
      <c r="C2" s="8" t="s">
        <v>39</v>
      </c>
      <c r="D2" s="84">
        <v>45239</v>
      </c>
      <c r="E2" s="84">
        <v>45420</v>
      </c>
      <c r="F2" s="8" t="s">
        <v>77</v>
      </c>
      <c r="G2" s="84">
        <v>30496</v>
      </c>
      <c r="H2" s="21">
        <f t="shared" ref="H2:H33" si="0">DATEDIF(G2,D2,"Y")</f>
        <v>40</v>
      </c>
      <c r="I2" s="8">
        <v>4</v>
      </c>
      <c r="J2" s="8">
        <v>31</v>
      </c>
      <c r="K2" s="8" t="s">
        <v>30</v>
      </c>
      <c r="L2" s="8" t="s">
        <v>78</v>
      </c>
      <c r="M2" s="8"/>
      <c r="N2" s="8" t="s">
        <v>154</v>
      </c>
      <c r="O2" s="8"/>
      <c r="P2" s="81">
        <f>27+6/7</f>
        <v>27.857142857142858</v>
      </c>
      <c r="Q2" s="8">
        <v>2</v>
      </c>
      <c r="R2" s="8">
        <v>0</v>
      </c>
      <c r="S2" s="8">
        <v>1</v>
      </c>
      <c r="T2" s="5" t="s">
        <v>80</v>
      </c>
      <c r="U2" s="5" t="s">
        <v>95</v>
      </c>
      <c r="V2" s="5" t="s">
        <v>78</v>
      </c>
      <c r="W2" s="5" t="s">
        <v>559</v>
      </c>
      <c r="X2" s="5" t="s">
        <v>82</v>
      </c>
      <c r="Y2" s="5" t="s">
        <v>351</v>
      </c>
      <c r="Z2" s="8" t="s">
        <v>39</v>
      </c>
      <c r="AA2" s="12">
        <v>45506</v>
      </c>
      <c r="AB2" s="80">
        <f>40+2/7</f>
        <v>40.285714285714285</v>
      </c>
      <c r="AC2" s="5"/>
      <c r="AD2" s="5" t="s">
        <v>134</v>
      </c>
      <c r="AE2" s="15">
        <f t="shared" ref="AE2:AE33" si="1">DATEDIF(E2,AA2,"D")</f>
        <v>86</v>
      </c>
      <c r="AF2" s="5">
        <v>0</v>
      </c>
      <c r="AG2" s="5"/>
      <c r="AH2" s="5" t="s">
        <v>80</v>
      </c>
      <c r="AI2" s="5"/>
      <c r="AJ2" s="5" t="s">
        <v>82</v>
      </c>
      <c r="AK2" s="5" t="s">
        <v>351</v>
      </c>
      <c r="AL2" s="5" t="s">
        <v>134</v>
      </c>
      <c r="AM2" s="80">
        <f>40+2/7</f>
        <v>40.285714285714285</v>
      </c>
      <c r="AN2" s="5"/>
    </row>
    <row r="3" spans="1:40" x14ac:dyDescent="0.25">
      <c r="A3" s="57">
        <v>517195</v>
      </c>
      <c r="B3" s="58" t="s">
        <v>23</v>
      </c>
      <c r="C3" s="46" t="s">
        <v>39</v>
      </c>
      <c r="D3" s="84">
        <v>45240</v>
      </c>
      <c r="E3" s="84">
        <v>45422</v>
      </c>
      <c r="F3" s="8" t="s">
        <v>77</v>
      </c>
      <c r="G3" s="84">
        <v>32263</v>
      </c>
      <c r="H3" s="21">
        <f t="shared" si="0"/>
        <v>35</v>
      </c>
      <c r="I3" s="8">
        <v>1</v>
      </c>
      <c r="J3" s="8">
        <v>48</v>
      </c>
      <c r="K3" s="8" t="s">
        <v>30</v>
      </c>
      <c r="L3" s="8" t="s">
        <v>78</v>
      </c>
      <c r="M3" s="8"/>
      <c r="N3" s="8"/>
      <c r="O3" s="8" t="s">
        <v>84</v>
      </c>
      <c r="P3" s="81">
        <v>28</v>
      </c>
      <c r="Q3" s="8">
        <v>2</v>
      </c>
      <c r="R3" s="8">
        <v>0</v>
      </c>
      <c r="S3" s="8">
        <v>1</v>
      </c>
      <c r="T3" s="5" t="s">
        <v>80</v>
      </c>
      <c r="U3" s="5" t="s">
        <v>95</v>
      </c>
      <c r="V3" s="5" t="s">
        <v>78</v>
      </c>
      <c r="W3" s="5" t="s">
        <v>559</v>
      </c>
      <c r="X3" s="5" t="s">
        <v>82</v>
      </c>
      <c r="Y3" s="5" t="s">
        <v>373</v>
      </c>
      <c r="Z3" s="8" t="s">
        <v>39</v>
      </c>
      <c r="AA3" s="12">
        <v>45498</v>
      </c>
      <c r="AB3" s="80">
        <f>38+6/7</f>
        <v>38.857142857142854</v>
      </c>
      <c r="AC3" s="5"/>
      <c r="AD3" s="5" t="s">
        <v>207</v>
      </c>
      <c r="AE3" s="15">
        <f t="shared" si="1"/>
        <v>76</v>
      </c>
      <c r="AF3" s="5">
        <v>0</v>
      </c>
      <c r="AG3" s="5"/>
      <c r="AH3" s="5" t="s">
        <v>80</v>
      </c>
      <c r="AI3" s="5" t="s">
        <v>210</v>
      </c>
      <c r="AJ3" s="5" t="s">
        <v>82</v>
      </c>
      <c r="AK3" s="5" t="s">
        <v>373</v>
      </c>
      <c r="AL3" s="5" t="s">
        <v>207</v>
      </c>
      <c r="AM3" s="80">
        <v>39</v>
      </c>
      <c r="AN3" s="5" t="s">
        <v>437</v>
      </c>
    </row>
    <row r="4" spans="1:40" x14ac:dyDescent="0.25">
      <c r="A4" s="57">
        <v>514559</v>
      </c>
      <c r="B4" s="58" t="s">
        <v>8</v>
      </c>
      <c r="C4" s="8" t="s">
        <v>39</v>
      </c>
      <c r="D4" s="84">
        <v>45162</v>
      </c>
      <c r="E4" s="84">
        <v>45344</v>
      </c>
      <c r="F4" s="8" t="s">
        <v>77</v>
      </c>
      <c r="G4" s="84">
        <v>33741</v>
      </c>
      <c r="H4" s="21">
        <f t="shared" si="0"/>
        <v>31</v>
      </c>
      <c r="I4" s="8">
        <v>0</v>
      </c>
      <c r="J4" s="8">
        <v>37</v>
      </c>
      <c r="K4" s="8" t="s">
        <v>30</v>
      </c>
      <c r="L4" s="8" t="s">
        <v>78</v>
      </c>
      <c r="M4" s="8"/>
      <c r="N4" s="8" t="s">
        <v>92</v>
      </c>
      <c r="O4" s="8"/>
      <c r="P4" s="81">
        <f>28</f>
        <v>28</v>
      </c>
      <c r="Q4" s="8">
        <v>2</v>
      </c>
      <c r="R4" s="8">
        <v>0</v>
      </c>
      <c r="S4" s="8">
        <v>1</v>
      </c>
      <c r="T4" s="5" t="s">
        <v>80</v>
      </c>
      <c r="U4" s="5" t="s">
        <v>95</v>
      </c>
      <c r="V4" s="5" t="s">
        <v>78</v>
      </c>
      <c r="W4" s="5" t="s">
        <v>559</v>
      </c>
      <c r="X4" s="5" t="s">
        <v>82</v>
      </c>
      <c r="Y4" s="5" t="s">
        <v>351</v>
      </c>
      <c r="Z4" s="8" t="s">
        <v>39</v>
      </c>
      <c r="AA4" s="12">
        <v>45419</v>
      </c>
      <c r="AB4" s="80">
        <f>38+5/7</f>
        <v>38.714285714285715</v>
      </c>
      <c r="AC4" s="5"/>
      <c r="AD4" s="5" t="s">
        <v>387</v>
      </c>
      <c r="AE4" s="15">
        <f t="shared" si="1"/>
        <v>75</v>
      </c>
      <c r="AF4" s="5">
        <v>0</v>
      </c>
      <c r="AG4" s="5"/>
      <c r="AH4" s="6" t="s">
        <v>71</v>
      </c>
      <c r="AI4" s="5" t="s">
        <v>388</v>
      </c>
      <c r="AJ4" s="5" t="s">
        <v>82</v>
      </c>
      <c r="AK4" s="5" t="s">
        <v>351</v>
      </c>
      <c r="AL4" s="5" t="s">
        <v>207</v>
      </c>
      <c r="AM4" s="80">
        <v>39</v>
      </c>
      <c r="AN4" s="5" t="s">
        <v>368</v>
      </c>
    </row>
    <row r="5" spans="1:40" x14ac:dyDescent="0.25">
      <c r="A5" s="57">
        <v>467408</v>
      </c>
      <c r="B5" s="58" t="s">
        <v>23</v>
      </c>
      <c r="C5" s="8" t="s">
        <v>39</v>
      </c>
      <c r="D5" s="84">
        <v>45138</v>
      </c>
      <c r="E5" s="84">
        <v>45320</v>
      </c>
      <c r="F5" s="8" t="s">
        <v>77</v>
      </c>
      <c r="G5" s="84">
        <v>30840</v>
      </c>
      <c r="H5" s="21">
        <f t="shared" si="0"/>
        <v>39</v>
      </c>
      <c r="I5" s="8">
        <v>3</v>
      </c>
      <c r="J5" s="8">
        <v>29</v>
      </c>
      <c r="K5" s="8" t="s">
        <v>30</v>
      </c>
      <c r="L5" s="8" t="s">
        <v>78</v>
      </c>
      <c r="M5" s="8"/>
      <c r="N5" s="8" t="s">
        <v>154</v>
      </c>
      <c r="O5" s="8"/>
      <c r="P5" s="81">
        <v>28</v>
      </c>
      <c r="Q5" s="8">
        <v>2</v>
      </c>
      <c r="R5" s="8">
        <v>0</v>
      </c>
      <c r="S5" s="8">
        <v>1</v>
      </c>
      <c r="T5" s="5" t="s">
        <v>80</v>
      </c>
      <c r="U5" s="5" t="s">
        <v>95</v>
      </c>
      <c r="V5" s="5" t="s">
        <v>78</v>
      </c>
      <c r="W5" s="5" t="s">
        <v>559</v>
      </c>
      <c r="X5" s="5" t="s">
        <v>82</v>
      </c>
      <c r="Y5" s="5" t="s">
        <v>373</v>
      </c>
      <c r="Z5" s="8" t="s">
        <v>39</v>
      </c>
      <c r="AA5" s="12">
        <v>45399</v>
      </c>
      <c r="AB5" s="80">
        <f>39+2/7</f>
        <v>39.285714285714285</v>
      </c>
      <c r="AC5" s="5"/>
      <c r="AD5" s="5" t="s">
        <v>134</v>
      </c>
      <c r="AE5" s="15">
        <f t="shared" si="1"/>
        <v>79</v>
      </c>
      <c r="AF5" s="5">
        <v>0</v>
      </c>
      <c r="AG5" s="5"/>
      <c r="AH5" s="5" t="s">
        <v>80</v>
      </c>
      <c r="AI5" s="5" t="s">
        <v>94</v>
      </c>
      <c r="AJ5" s="5" t="s">
        <v>82</v>
      </c>
      <c r="AK5" s="5" t="s">
        <v>373</v>
      </c>
      <c r="AL5" s="5" t="s">
        <v>134</v>
      </c>
      <c r="AM5" s="80">
        <f>39+2/7</f>
        <v>39.285714285714285</v>
      </c>
      <c r="AN5" s="5"/>
    </row>
    <row r="6" spans="1:40" ht="30" x14ac:dyDescent="0.25">
      <c r="A6" s="57">
        <v>519003</v>
      </c>
      <c r="B6" s="58" t="s">
        <v>23</v>
      </c>
      <c r="C6" s="8" t="s">
        <v>39</v>
      </c>
      <c r="D6" s="84">
        <v>45279</v>
      </c>
      <c r="E6" s="84">
        <v>45461</v>
      </c>
      <c r="F6" s="8" t="s">
        <v>77</v>
      </c>
      <c r="G6" s="84">
        <v>35130</v>
      </c>
      <c r="H6" s="21">
        <f t="shared" si="0"/>
        <v>27</v>
      </c>
      <c r="I6" s="8">
        <v>1</v>
      </c>
      <c r="J6" s="8">
        <v>29</v>
      </c>
      <c r="K6" s="8" t="s">
        <v>30</v>
      </c>
      <c r="L6" s="8" t="s">
        <v>78</v>
      </c>
      <c r="M6" s="8"/>
      <c r="N6" s="8"/>
      <c r="O6" s="8"/>
      <c r="P6" s="81">
        <v>28</v>
      </c>
      <c r="Q6" s="8">
        <v>2</v>
      </c>
      <c r="R6" s="8">
        <v>0</v>
      </c>
      <c r="S6" s="8">
        <v>1</v>
      </c>
      <c r="T6" s="5" t="s">
        <v>80</v>
      </c>
      <c r="U6" s="5" t="s">
        <v>95</v>
      </c>
      <c r="V6" s="5" t="s">
        <v>77</v>
      </c>
      <c r="W6" s="5" t="s">
        <v>559</v>
      </c>
      <c r="X6" s="5" t="s">
        <v>82</v>
      </c>
      <c r="Y6" s="5" t="s">
        <v>373</v>
      </c>
      <c r="Z6" s="8" t="s">
        <v>39</v>
      </c>
      <c r="AA6" s="12">
        <v>45535</v>
      </c>
      <c r="AB6" s="80">
        <f>38+4/7</f>
        <v>38.571428571428569</v>
      </c>
      <c r="AC6" s="5" t="s">
        <v>279</v>
      </c>
      <c r="AD6" s="5" t="s">
        <v>134</v>
      </c>
      <c r="AE6" s="15">
        <f t="shared" si="1"/>
        <v>74</v>
      </c>
      <c r="AF6" s="5">
        <v>1</v>
      </c>
      <c r="AG6" s="13" t="s">
        <v>416</v>
      </c>
      <c r="AH6" s="5" t="s">
        <v>84</v>
      </c>
      <c r="AI6" s="5" t="s">
        <v>210</v>
      </c>
      <c r="AJ6" s="5" t="s">
        <v>82</v>
      </c>
      <c r="AK6" s="5" t="s">
        <v>373</v>
      </c>
      <c r="AL6" s="5" t="s">
        <v>134</v>
      </c>
      <c r="AM6" s="80">
        <f>38+4/7</f>
        <v>38.571428571428569</v>
      </c>
      <c r="AN6" s="5"/>
    </row>
    <row r="7" spans="1:40" ht="120" x14ac:dyDescent="0.25">
      <c r="A7" s="57">
        <v>514329</v>
      </c>
      <c r="B7" s="58" t="s">
        <v>23</v>
      </c>
      <c r="C7" s="8" t="s">
        <v>39</v>
      </c>
      <c r="D7" s="84">
        <v>45191</v>
      </c>
      <c r="E7" s="84">
        <v>45373</v>
      </c>
      <c r="F7" s="8" t="s">
        <v>77</v>
      </c>
      <c r="G7" s="84">
        <v>30257</v>
      </c>
      <c r="H7" s="21">
        <f t="shared" si="0"/>
        <v>40</v>
      </c>
      <c r="I7" s="8">
        <v>3</v>
      </c>
      <c r="J7" s="8">
        <v>25</v>
      </c>
      <c r="K7" s="8" t="s">
        <v>30</v>
      </c>
      <c r="L7" s="8" t="s">
        <v>78</v>
      </c>
      <c r="M7" s="8"/>
      <c r="N7" s="8"/>
      <c r="O7" s="8"/>
      <c r="P7" s="81">
        <v>28</v>
      </c>
      <c r="Q7" s="8">
        <v>2</v>
      </c>
      <c r="R7" s="8">
        <v>0</v>
      </c>
      <c r="S7" s="8">
        <v>1</v>
      </c>
      <c r="T7" s="5" t="s">
        <v>80</v>
      </c>
      <c r="U7" s="5" t="s">
        <v>95</v>
      </c>
      <c r="V7" s="5" t="s">
        <v>78</v>
      </c>
      <c r="W7" s="5" t="s">
        <v>559</v>
      </c>
      <c r="X7" s="5" t="s">
        <v>82</v>
      </c>
      <c r="Y7" s="5" t="s">
        <v>373</v>
      </c>
      <c r="Z7" s="8" t="s">
        <v>39</v>
      </c>
      <c r="AA7" s="12">
        <v>45446</v>
      </c>
      <c r="AB7" s="80">
        <f>40+1/7</f>
        <v>40.142857142857146</v>
      </c>
      <c r="AC7" s="5"/>
      <c r="AD7" s="5" t="s">
        <v>207</v>
      </c>
      <c r="AE7" s="15">
        <f t="shared" si="1"/>
        <v>73</v>
      </c>
      <c r="AF7" s="5">
        <v>3</v>
      </c>
      <c r="AG7" s="13" t="s">
        <v>442</v>
      </c>
      <c r="AH7" s="5" t="s">
        <v>80</v>
      </c>
      <c r="AI7" s="13" t="s">
        <v>321</v>
      </c>
      <c r="AJ7" s="5" t="s">
        <v>82</v>
      </c>
      <c r="AK7" s="5" t="s">
        <v>373</v>
      </c>
      <c r="AL7" s="5" t="s">
        <v>207</v>
      </c>
      <c r="AM7" s="80">
        <f>40+1/7</f>
        <v>40.142857142857146</v>
      </c>
      <c r="AN7" s="5" t="s">
        <v>343</v>
      </c>
    </row>
    <row r="8" spans="1:40" ht="45" x14ac:dyDescent="0.25">
      <c r="A8" s="57">
        <v>432835</v>
      </c>
      <c r="B8" s="58" t="s">
        <v>23</v>
      </c>
      <c r="C8" s="8" t="s">
        <v>39</v>
      </c>
      <c r="D8" s="84">
        <v>45266</v>
      </c>
      <c r="E8" s="84">
        <v>45449</v>
      </c>
      <c r="F8" s="8" t="s">
        <v>77</v>
      </c>
      <c r="G8" s="84">
        <v>32186</v>
      </c>
      <c r="H8" s="21">
        <f t="shared" si="0"/>
        <v>35</v>
      </c>
      <c r="I8" s="8">
        <v>2</v>
      </c>
      <c r="J8" s="8">
        <v>33</v>
      </c>
      <c r="K8" s="8" t="s">
        <v>30</v>
      </c>
      <c r="L8" s="8" t="s">
        <v>78</v>
      </c>
      <c r="M8" s="46" t="s">
        <v>543</v>
      </c>
      <c r="N8" s="8" t="s">
        <v>154</v>
      </c>
      <c r="O8" s="8"/>
      <c r="P8" s="81">
        <f>28+1/7</f>
        <v>28.142857142857142</v>
      </c>
      <c r="Q8" s="8">
        <v>2</v>
      </c>
      <c r="R8" s="8">
        <v>0</v>
      </c>
      <c r="S8" s="8">
        <v>1</v>
      </c>
      <c r="T8" s="5" t="s">
        <v>80</v>
      </c>
      <c r="U8" s="5" t="s">
        <v>95</v>
      </c>
      <c r="V8" s="5" t="s">
        <v>78</v>
      </c>
      <c r="W8" s="13" t="s">
        <v>558</v>
      </c>
      <c r="X8" s="5" t="s">
        <v>82</v>
      </c>
      <c r="Y8" s="5" t="s">
        <v>373</v>
      </c>
      <c r="Z8" s="8" t="s">
        <v>39</v>
      </c>
      <c r="AA8" s="12">
        <v>45518</v>
      </c>
      <c r="AB8" s="80">
        <f>38</f>
        <v>38</v>
      </c>
      <c r="AC8" s="5"/>
      <c r="AD8" s="5" t="s">
        <v>207</v>
      </c>
      <c r="AE8" s="15">
        <f t="shared" si="1"/>
        <v>69</v>
      </c>
      <c r="AF8" s="5">
        <v>0</v>
      </c>
      <c r="AG8" s="5"/>
      <c r="AH8" s="5" t="s">
        <v>80</v>
      </c>
      <c r="AI8" s="13" t="s">
        <v>447</v>
      </c>
      <c r="AJ8" s="5" t="s">
        <v>82</v>
      </c>
      <c r="AK8" s="5" t="s">
        <v>373</v>
      </c>
      <c r="AL8" s="5" t="s">
        <v>207</v>
      </c>
      <c r="AM8" s="80">
        <f>38+2/7</f>
        <v>38.285714285714285</v>
      </c>
      <c r="AN8" s="13" t="s">
        <v>448</v>
      </c>
    </row>
    <row r="9" spans="1:40" ht="30" x14ac:dyDescent="0.25">
      <c r="A9" s="59">
        <v>522367</v>
      </c>
      <c r="B9" s="59" t="s">
        <v>3</v>
      </c>
      <c r="C9" s="8" t="s">
        <v>39</v>
      </c>
      <c r="D9" s="84">
        <v>45291</v>
      </c>
      <c r="E9" s="84">
        <v>45474</v>
      </c>
      <c r="F9" s="8" t="s">
        <v>77</v>
      </c>
      <c r="G9" s="84">
        <v>30576</v>
      </c>
      <c r="H9" s="21">
        <f t="shared" si="0"/>
        <v>40</v>
      </c>
      <c r="I9" s="8">
        <v>4</v>
      </c>
      <c r="J9" s="8">
        <v>29</v>
      </c>
      <c r="K9" s="8" t="s">
        <v>30</v>
      </c>
      <c r="L9" s="8" t="s">
        <v>78</v>
      </c>
      <c r="M9" s="46" t="s">
        <v>541</v>
      </c>
      <c r="N9" s="46"/>
      <c r="O9" s="8"/>
      <c r="P9" s="81">
        <f>28+1/7</f>
        <v>28.142857142857142</v>
      </c>
      <c r="Q9" s="8">
        <v>2</v>
      </c>
      <c r="R9" s="8">
        <v>0</v>
      </c>
      <c r="S9" s="8" t="s">
        <v>98</v>
      </c>
      <c r="T9" s="6" t="s">
        <v>80</v>
      </c>
      <c r="U9" s="6" t="s">
        <v>95</v>
      </c>
      <c r="V9" s="5" t="s">
        <v>78</v>
      </c>
      <c r="W9" s="13" t="s">
        <v>560</v>
      </c>
      <c r="X9" s="6" t="s">
        <v>82</v>
      </c>
      <c r="Y9" s="5" t="s">
        <v>373</v>
      </c>
      <c r="Z9" s="8" t="s">
        <v>39</v>
      </c>
      <c r="AA9" s="12">
        <v>45529</v>
      </c>
      <c r="AB9" s="80">
        <v>36</v>
      </c>
      <c r="AC9" s="5"/>
      <c r="AD9" s="13" t="s">
        <v>577</v>
      </c>
      <c r="AE9" s="15">
        <f t="shared" si="1"/>
        <v>55</v>
      </c>
      <c r="AF9" s="15">
        <v>0</v>
      </c>
      <c r="AG9" s="5"/>
      <c r="AH9" s="6" t="s">
        <v>71</v>
      </c>
      <c r="AI9" s="13" t="s">
        <v>153</v>
      </c>
      <c r="AJ9" s="6" t="s">
        <v>82</v>
      </c>
      <c r="AK9" s="6" t="s">
        <v>83</v>
      </c>
      <c r="AL9" s="6" t="s">
        <v>332</v>
      </c>
      <c r="AM9" s="83">
        <f>37+3/7</f>
        <v>37.428571428571431</v>
      </c>
      <c r="AN9" s="6" t="s">
        <v>499</v>
      </c>
    </row>
    <row r="10" spans="1:40" ht="45" x14ac:dyDescent="0.25">
      <c r="A10" s="57">
        <v>407217</v>
      </c>
      <c r="B10" s="58" t="s">
        <v>23</v>
      </c>
      <c r="C10" s="8" t="s">
        <v>39</v>
      </c>
      <c r="D10" s="84">
        <v>45200</v>
      </c>
      <c r="E10" s="84">
        <v>45384</v>
      </c>
      <c r="F10" s="8" t="s">
        <v>77</v>
      </c>
      <c r="G10" s="84">
        <v>31179</v>
      </c>
      <c r="H10" s="21">
        <f t="shared" si="0"/>
        <v>38</v>
      </c>
      <c r="I10" s="8">
        <v>3</v>
      </c>
      <c r="J10" s="8">
        <v>26</v>
      </c>
      <c r="K10" s="8" t="s">
        <v>30</v>
      </c>
      <c r="L10" s="8" t="s">
        <v>176</v>
      </c>
      <c r="M10" s="8"/>
      <c r="N10" s="8" t="s">
        <v>92</v>
      </c>
      <c r="O10" s="8"/>
      <c r="P10" s="81">
        <f>28+2/7</f>
        <v>28.285714285714285</v>
      </c>
      <c r="Q10" s="8">
        <v>2</v>
      </c>
      <c r="R10" s="8">
        <v>0</v>
      </c>
      <c r="S10" s="8">
        <v>1</v>
      </c>
      <c r="T10" s="5" t="s">
        <v>80</v>
      </c>
      <c r="U10" s="5" t="s">
        <v>95</v>
      </c>
      <c r="V10" s="5" t="s">
        <v>78</v>
      </c>
      <c r="W10" s="5" t="s">
        <v>559</v>
      </c>
      <c r="X10" s="5" t="s">
        <v>82</v>
      </c>
      <c r="Y10" s="5" t="s">
        <v>373</v>
      </c>
      <c r="Z10" s="8" t="s">
        <v>39</v>
      </c>
      <c r="AA10" s="12">
        <v>45449</v>
      </c>
      <c r="AB10" s="80">
        <f>37+4/7</f>
        <v>37.571428571428569</v>
      </c>
      <c r="AC10" s="5"/>
      <c r="AD10" s="5" t="s">
        <v>207</v>
      </c>
      <c r="AE10" s="15">
        <f t="shared" si="1"/>
        <v>65</v>
      </c>
      <c r="AF10" s="5">
        <v>0</v>
      </c>
      <c r="AG10" s="5"/>
      <c r="AH10" s="5" t="s">
        <v>80</v>
      </c>
      <c r="AI10" s="5" t="s">
        <v>388</v>
      </c>
      <c r="AJ10" s="13" t="s">
        <v>449</v>
      </c>
      <c r="AK10" s="5" t="s">
        <v>373</v>
      </c>
      <c r="AL10" s="5" t="s">
        <v>207</v>
      </c>
      <c r="AM10" s="80">
        <v>38</v>
      </c>
      <c r="AN10" s="5" t="s">
        <v>176</v>
      </c>
    </row>
    <row r="11" spans="1:40" ht="45" x14ac:dyDescent="0.25">
      <c r="A11" s="57">
        <v>460987</v>
      </c>
      <c r="B11" s="58" t="s">
        <v>23</v>
      </c>
      <c r="C11" s="8" t="s">
        <v>39</v>
      </c>
      <c r="D11" s="84">
        <v>45249</v>
      </c>
      <c r="E11" s="84">
        <v>45434</v>
      </c>
      <c r="F11" s="8" t="s">
        <v>77</v>
      </c>
      <c r="G11" s="84">
        <v>30494</v>
      </c>
      <c r="H11" s="21">
        <f t="shared" si="0"/>
        <v>40</v>
      </c>
      <c r="I11" s="8">
        <v>6</v>
      </c>
      <c r="J11" s="8">
        <v>37</v>
      </c>
      <c r="K11" s="8" t="s">
        <v>30</v>
      </c>
      <c r="L11" s="8" t="s">
        <v>78</v>
      </c>
      <c r="M11" s="8" t="s">
        <v>4</v>
      </c>
      <c r="N11" s="8"/>
      <c r="O11" s="8" t="s">
        <v>480</v>
      </c>
      <c r="P11" s="81">
        <f>28+3/7</f>
        <v>28.428571428571427</v>
      </c>
      <c r="Q11" s="8">
        <v>2</v>
      </c>
      <c r="R11" s="8">
        <v>0</v>
      </c>
      <c r="S11" s="8">
        <v>1</v>
      </c>
      <c r="T11" s="5" t="s">
        <v>80</v>
      </c>
      <c r="U11" s="5" t="s">
        <v>95</v>
      </c>
      <c r="V11" s="5" t="s">
        <v>78</v>
      </c>
      <c r="W11" s="5" t="s">
        <v>559</v>
      </c>
      <c r="X11" s="5" t="s">
        <v>82</v>
      </c>
      <c r="Y11" s="5" t="s">
        <v>373</v>
      </c>
      <c r="Z11" s="8" t="s">
        <v>39</v>
      </c>
      <c r="AA11" s="12">
        <v>45500</v>
      </c>
      <c r="AB11" s="80">
        <f>37+6/7</f>
        <v>37.857142857142854</v>
      </c>
      <c r="AC11" s="5"/>
      <c r="AD11" s="5" t="s">
        <v>134</v>
      </c>
      <c r="AE11" s="15">
        <f t="shared" si="1"/>
        <v>66</v>
      </c>
      <c r="AF11" s="5">
        <v>1</v>
      </c>
      <c r="AG11" s="13" t="s">
        <v>482</v>
      </c>
      <c r="AH11" s="5" t="s">
        <v>80</v>
      </c>
      <c r="AI11" s="5" t="s">
        <v>383</v>
      </c>
      <c r="AJ11" s="5" t="s">
        <v>82</v>
      </c>
      <c r="AK11" s="5" t="s">
        <v>373</v>
      </c>
      <c r="AL11" s="5" t="s">
        <v>134</v>
      </c>
      <c r="AM11" s="80">
        <f>37+2/7</f>
        <v>37.285714285714285</v>
      </c>
      <c r="AN11" s="5"/>
    </row>
    <row r="12" spans="1:40" x14ac:dyDescent="0.25">
      <c r="A12" s="57">
        <v>513490</v>
      </c>
      <c r="B12" s="58" t="s">
        <v>23</v>
      </c>
      <c r="C12" s="8" t="s">
        <v>39</v>
      </c>
      <c r="D12" s="84">
        <v>45155</v>
      </c>
      <c r="E12" s="84">
        <v>45341</v>
      </c>
      <c r="F12" s="8" t="s">
        <v>77</v>
      </c>
      <c r="G12" s="84">
        <v>31300</v>
      </c>
      <c r="H12" s="21">
        <f t="shared" si="0"/>
        <v>37</v>
      </c>
      <c r="I12" s="8">
        <v>2</v>
      </c>
      <c r="J12" s="8">
        <v>30</v>
      </c>
      <c r="K12" s="8" t="s">
        <v>30</v>
      </c>
      <c r="L12" s="8" t="s">
        <v>78</v>
      </c>
      <c r="M12" s="46" t="s">
        <v>84</v>
      </c>
      <c r="N12" s="8" t="s">
        <v>154</v>
      </c>
      <c r="O12" s="8"/>
      <c r="P12" s="81">
        <f>28+4/7</f>
        <v>28.571428571428573</v>
      </c>
      <c r="Q12" s="8">
        <v>2</v>
      </c>
      <c r="R12" s="8">
        <v>0</v>
      </c>
      <c r="S12" s="8">
        <v>1</v>
      </c>
      <c r="T12" s="5" t="s">
        <v>80</v>
      </c>
      <c r="U12" s="5" t="s">
        <v>95</v>
      </c>
      <c r="V12" s="5" t="s">
        <v>78</v>
      </c>
      <c r="W12" s="5" t="s">
        <v>559</v>
      </c>
      <c r="X12" s="5" t="s">
        <v>82</v>
      </c>
      <c r="Y12" s="5" t="s">
        <v>373</v>
      </c>
      <c r="Z12" s="8" t="s">
        <v>39</v>
      </c>
      <c r="AA12" s="12">
        <v>45414</v>
      </c>
      <c r="AB12" s="80">
        <v>39</v>
      </c>
      <c r="AC12" s="5"/>
      <c r="AD12" s="5" t="s">
        <v>134</v>
      </c>
      <c r="AE12" s="15">
        <f t="shared" si="1"/>
        <v>73</v>
      </c>
      <c r="AF12" s="5">
        <v>0</v>
      </c>
      <c r="AG12" s="5"/>
      <c r="AH12" s="5" t="s">
        <v>80</v>
      </c>
      <c r="AI12" s="5" t="s">
        <v>334</v>
      </c>
      <c r="AJ12" s="5" t="s">
        <v>82</v>
      </c>
      <c r="AK12" s="5" t="s">
        <v>373</v>
      </c>
      <c r="AL12" s="5" t="s">
        <v>134</v>
      </c>
      <c r="AM12" s="80">
        <v>39</v>
      </c>
      <c r="AN12" s="5"/>
    </row>
    <row r="13" spans="1:40" ht="30" x14ac:dyDescent="0.25">
      <c r="A13" s="57">
        <v>511909</v>
      </c>
      <c r="B13" s="58" t="s">
        <v>8</v>
      </c>
      <c r="C13" s="8" t="s">
        <v>5</v>
      </c>
      <c r="D13" s="84">
        <v>45123</v>
      </c>
      <c r="E13" s="84">
        <v>45307</v>
      </c>
      <c r="F13" s="8" t="s">
        <v>77</v>
      </c>
      <c r="G13" s="84">
        <v>32794</v>
      </c>
      <c r="H13" s="21">
        <f t="shared" si="0"/>
        <v>33</v>
      </c>
      <c r="I13" s="8">
        <v>1</v>
      </c>
      <c r="J13" s="8">
        <v>40</v>
      </c>
      <c r="K13" s="8" t="s">
        <v>30</v>
      </c>
      <c r="L13" s="8" t="s">
        <v>78</v>
      </c>
      <c r="M13" s="8" t="s">
        <v>4</v>
      </c>
      <c r="N13" s="8"/>
      <c r="O13" s="8"/>
      <c r="P13" s="81">
        <f>28+4/7</f>
        <v>28.571428571428573</v>
      </c>
      <c r="Q13" s="8">
        <v>2</v>
      </c>
      <c r="R13" s="8">
        <v>0</v>
      </c>
      <c r="S13" s="8">
        <v>1</v>
      </c>
      <c r="T13" s="5" t="s">
        <v>80</v>
      </c>
      <c r="U13" s="5" t="s">
        <v>95</v>
      </c>
      <c r="V13" s="5" t="s">
        <v>78</v>
      </c>
      <c r="W13" s="13" t="s">
        <v>558</v>
      </c>
      <c r="X13" s="5" t="s">
        <v>82</v>
      </c>
      <c r="Y13" s="5" t="s">
        <v>351</v>
      </c>
      <c r="Z13" s="8" t="s">
        <v>39</v>
      </c>
      <c r="AA13" s="12">
        <v>45380</v>
      </c>
      <c r="AB13" s="80">
        <f>40+2/7</f>
        <v>40.285714285714285</v>
      </c>
      <c r="AC13" s="5"/>
      <c r="AD13" s="5" t="s">
        <v>134</v>
      </c>
      <c r="AE13" s="15">
        <f t="shared" si="1"/>
        <v>73</v>
      </c>
      <c r="AF13" s="5">
        <v>0</v>
      </c>
      <c r="AG13" s="5"/>
      <c r="AH13" s="5" t="s">
        <v>80</v>
      </c>
      <c r="AI13" s="13" t="s">
        <v>357</v>
      </c>
      <c r="AJ13" s="5" t="s">
        <v>82</v>
      </c>
      <c r="AK13" s="5" t="s">
        <v>351</v>
      </c>
      <c r="AL13" s="5" t="s">
        <v>134</v>
      </c>
      <c r="AM13" s="80">
        <f>40+2/7</f>
        <v>40.285714285714285</v>
      </c>
      <c r="AN13" s="5"/>
    </row>
    <row r="14" spans="1:40" x14ac:dyDescent="0.25">
      <c r="A14" s="57">
        <v>511761</v>
      </c>
      <c r="B14" s="58" t="s">
        <v>23</v>
      </c>
      <c r="C14" s="8" t="s">
        <v>39</v>
      </c>
      <c r="D14" s="84">
        <v>45162</v>
      </c>
      <c r="E14" s="84">
        <v>45349</v>
      </c>
      <c r="F14" s="8" t="s">
        <v>77</v>
      </c>
      <c r="G14" s="84">
        <v>29932</v>
      </c>
      <c r="H14" s="21">
        <f t="shared" si="0"/>
        <v>41</v>
      </c>
      <c r="I14" s="8">
        <v>5</v>
      </c>
      <c r="J14" s="8">
        <v>28</v>
      </c>
      <c r="K14" s="8" t="s">
        <v>30</v>
      </c>
      <c r="L14" s="8" t="s">
        <v>78</v>
      </c>
      <c r="M14" s="8" t="s">
        <v>4</v>
      </c>
      <c r="N14" s="8" t="s">
        <v>92</v>
      </c>
      <c r="O14" s="8"/>
      <c r="P14" s="81">
        <f>28+5/7</f>
        <v>28.714285714285715</v>
      </c>
      <c r="Q14" s="8">
        <v>2</v>
      </c>
      <c r="R14" s="8">
        <v>0</v>
      </c>
      <c r="S14" s="8">
        <v>1</v>
      </c>
      <c r="T14" s="5" t="s">
        <v>80</v>
      </c>
      <c r="U14" s="5" t="s">
        <v>95</v>
      </c>
      <c r="V14" s="5" t="s">
        <v>78</v>
      </c>
      <c r="W14" s="5" t="s">
        <v>559</v>
      </c>
      <c r="X14" s="5" t="s">
        <v>82</v>
      </c>
      <c r="Y14" s="5" t="s">
        <v>373</v>
      </c>
      <c r="Z14" s="8" t="s">
        <v>39</v>
      </c>
      <c r="AA14" s="12">
        <v>45419</v>
      </c>
      <c r="AB14" s="80">
        <f>38+5/7</f>
        <v>38.714285714285715</v>
      </c>
      <c r="AC14" s="5"/>
      <c r="AD14" s="5" t="s">
        <v>207</v>
      </c>
      <c r="AE14" s="15">
        <f t="shared" si="1"/>
        <v>70</v>
      </c>
      <c r="AF14" s="5">
        <v>0</v>
      </c>
      <c r="AG14" s="5"/>
      <c r="AH14" s="5" t="s">
        <v>71</v>
      </c>
      <c r="AI14" s="13" t="s">
        <v>107</v>
      </c>
      <c r="AJ14" s="5" t="s">
        <v>82</v>
      </c>
      <c r="AK14" s="5" t="s">
        <v>373</v>
      </c>
      <c r="AL14" s="5" t="s">
        <v>207</v>
      </c>
      <c r="AM14" s="80">
        <v>39</v>
      </c>
      <c r="AN14" s="5" t="s">
        <v>71</v>
      </c>
    </row>
    <row r="15" spans="1:40" ht="30" x14ac:dyDescent="0.25">
      <c r="A15" s="57">
        <v>518701</v>
      </c>
      <c r="B15" s="58" t="s">
        <v>23</v>
      </c>
      <c r="C15" s="46" t="s">
        <v>39</v>
      </c>
      <c r="D15" s="84">
        <v>45263</v>
      </c>
      <c r="E15" s="84">
        <v>45450</v>
      </c>
      <c r="F15" s="8" t="s">
        <v>77</v>
      </c>
      <c r="G15" s="84">
        <v>29768</v>
      </c>
      <c r="H15" s="21">
        <f t="shared" si="0"/>
        <v>42</v>
      </c>
      <c r="I15" s="8">
        <v>0</v>
      </c>
      <c r="J15" s="8">
        <v>30</v>
      </c>
      <c r="K15" s="8" t="s">
        <v>135</v>
      </c>
      <c r="L15" s="8" t="s">
        <v>78</v>
      </c>
      <c r="M15" s="8"/>
      <c r="N15" s="8" t="s">
        <v>181</v>
      </c>
      <c r="O15" s="8"/>
      <c r="P15" s="81">
        <f>28+5/7</f>
        <v>28.714285714285715</v>
      </c>
      <c r="Q15" s="8">
        <v>2</v>
      </c>
      <c r="R15" s="8">
        <v>0</v>
      </c>
      <c r="S15" s="8">
        <v>1</v>
      </c>
      <c r="T15" s="5" t="s">
        <v>80</v>
      </c>
      <c r="U15" s="5" t="s">
        <v>95</v>
      </c>
      <c r="V15" s="5" t="s">
        <v>78</v>
      </c>
      <c r="W15" s="13" t="s">
        <v>558</v>
      </c>
      <c r="X15" s="5" t="s">
        <v>82</v>
      </c>
      <c r="Y15" s="5" t="s">
        <v>373</v>
      </c>
      <c r="Z15" s="8" t="s">
        <v>39</v>
      </c>
      <c r="AA15" s="12">
        <v>45517</v>
      </c>
      <c r="AB15" s="80">
        <f>38+2/7</f>
        <v>38.285714285714285</v>
      </c>
      <c r="AC15" s="5"/>
      <c r="AD15" s="5" t="s">
        <v>134</v>
      </c>
      <c r="AE15" s="15">
        <f t="shared" si="1"/>
        <v>67</v>
      </c>
      <c r="AF15" s="5">
        <v>0</v>
      </c>
      <c r="AG15" s="5"/>
      <c r="AH15" s="5" t="s">
        <v>80</v>
      </c>
      <c r="AI15" s="13" t="s">
        <v>170</v>
      </c>
      <c r="AJ15" s="5" t="s">
        <v>82</v>
      </c>
      <c r="AK15" s="5" t="s">
        <v>373</v>
      </c>
      <c r="AL15" s="5" t="s">
        <v>134</v>
      </c>
      <c r="AM15" s="80">
        <f>38+3/7</f>
        <v>38.428571428571431</v>
      </c>
      <c r="AN15" s="5"/>
    </row>
    <row r="16" spans="1:40" x14ac:dyDescent="0.25">
      <c r="A16" s="60">
        <v>526422</v>
      </c>
      <c r="B16" s="58" t="s">
        <v>8</v>
      </c>
      <c r="C16" s="8" t="s">
        <v>39</v>
      </c>
      <c r="D16" s="84">
        <v>45382</v>
      </c>
      <c r="E16" s="84">
        <v>45569</v>
      </c>
      <c r="F16" s="8" t="s">
        <v>77</v>
      </c>
      <c r="G16" s="84">
        <v>31034</v>
      </c>
      <c r="H16" s="21">
        <f t="shared" si="0"/>
        <v>39</v>
      </c>
      <c r="I16" s="8">
        <v>3</v>
      </c>
      <c r="J16" s="8">
        <v>32</v>
      </c>
      <c r="K16" s="8" t="s">
        <v>30</v>
      </c>
      <c r="L16" s="8" t="s">
        <v>78</v>
      </c>
      <c r="M16" s="8" t="s">
        <v>4</v>
      </c>
      <c r="N16" s="46"/>
      <c r="O16" s="8"/>
      <c r="P16" s="81">
        <f>28+5/7</f>
        <v>28.714285714285715</v>
      </c>
      <c r="Q16" s="8">
        <v>2</v>
      </c>
      <c r="R16" s="8">
        <v>0</v>
      </c>
      <c r="S16" s="8">
        <v>1</v>
      </c>
      <c r="T16" s="5" t="s">
        <v>80</v>
      </c>
      <c r="U16" s="5" t="s">
        <v>95</v>
      </c>
      <c r="V16" s="5" t="s">
        <v>78</v>
      </c>
      <c r="W16" s="5" t="s">
        <v>559</v>
      </c>
      <c r="X16" s="5" t="s">
        <v>82</v>
      </c>
      <c r="Y16" s="5" t="s">
        <v>351</v>
      </c>
      <c r="Z16" s="8" t="s">
        <v>39</v>
      </c>
      <c r="AA16" s="12">
        <v>45647</v>
      </c>
      <c r="AB16" s="80">
        <f>39+5/7</f>
        <v>39.714285714285715</v>
      </c>
      <c r="AC16" s="5"/>
      <c r="AD16" s="5" t="s">
        <v>134</v>
      </c>
      <c r="AE16" s="15">
        <f t="shared" si="1"/>
        <v>78</v>
      </c>
      <c r="AF16" s="5">
        <v>0</v>
      </c>
      <c r="AG16" s="5"/>
      <c r="AH16" s="5" t="s">
        <v>80</v>
      </c>
      <c r="AI16" s="5" t="s">
        <v>94</v>
      </c>
      <c r="AJ16" s="5" t="s">
        <v>82</v>
      </c>
      <c r="AK16" s="5" t="s">
        <v>351</v>
      </c>
      <c r="AL16" s="5" t="s">
        <v>134</v>
      </c>
      <c r="AM16" s="80">
        <f>39+6/7</f>
        <v>39.857142857142854</v>
      </c>
      <c r="AN16" s="5"/>
    </row>
    <row r="17" spans="1:40" ht="30" x14ac:dyDescent="0.25">
      <c r="A17" s="57">
        <v>497026</v>
      </c>
      <c r="B17" s="58" t="s">
        <v>23</v>
      </c>
      <c r="C17" s="8" t="s">
        <v>39</v>
      </c>
      <c r="D17" s="84">
        <v>45240</v>
      </c>
      <c r="E17" s="84">
        <v>45428</v>
      </c>
      <c r="F17" s="8" t="s">
        <v>77</v>
      </c>
      <c r="G17" s="84">
        <v>30198</v>
      </c>
      <c r="H17" s="21">
        <f t="shared" si="0"/>
        <v>41</v>
      </c>
      <c r="I17" s="8">
        <v>1</v>
      </c>
      <c r="J17" s="8">
        <v>33</v>
      </c>
      <c r="K17" s="8" t="s">
        <v>30</v>
      </c>
      <c r="L17" s="8" t="s">
        <v>78</v>
      </c>
      <c r="M17" s="8"/>
      <c r="N17" s="8" t="s">
        <v>92</v>
      </c>
      <c r="O17" s="46"/>
      <c r="P17" s="81">
        <f>28+6/7</f>
        <v>28.857142857142858</v>
      </c>
      <c r="Q17" s="8">
        <v>2</v>
      </c>
      <c r="R17" s="8">
        <v>0</v>
      </c>
      <c r="S17" s="8">
        <v>1</v>
      </c>
      <c r="T17" s="5" t="s">
        <v>80</v>
      </c>
      <c r="U17" s="5" t="s">
        <v>95</v>
      </c>
      <c r="V17" s="5" t="s">
        <v>77</v>
      </c>
      <c r="W17" s="5" t="s">
        <v>559</v>
      </c>
      <c r="X17" s="5" t="s">
        <v>411</v>
      </c>
      <c r="Y17" s="5" t="s">
        <v>373</v>
      </c>
      <c r="Z17" s="8" t="s">
        <v>39</v>
      </c>
      <c r="AA17" s="12">
        <v>45439</v>
      </c>
      <c r="AB17" s="80">
        <f>30+3/7</f>
        <v>30.428571428571427</v>
      </c>
      <c r="AC17" s="5"/>
      <c r="AD17" s="13" t="s">
        <v>568</v>
      </c>
      <c r="AE17" s="15">
        <f t="shared" si="1"/>
        <v>11</v>
      </c>
      <c r="AF17" s="5">
        <v>1</v>
      </c>
      <c r="AG17" s="13" t="s">
        <v>409</v>
      </c>
      <c r="AH17" s="5" t="s">
        <v>80</v>
      </c>
      <c r="AI17" s="5" t="s">
        <v>334</v>
      </c>
      <c r="AJ17" s="5" t="s">
        <v>175</v>
      </c>
      <c r="AK17" s="5" t="s">
        <v>373</v>
      </c>
      <c r="AL17" s="5" t="s">
        <v>134</v>
      </c>
      <c r="AM17" s="80">
        <f>31+4/7</f>
        <v>31.571428571428573</v>
      </c>
      <c r="AN17" s="6"/>
    </row>
    <row r="18" spans="1:40" x14ac:dyDescent="0.25">
      <c r="A18" s="60">
        <v>521361</v>
      </c>
      <c r="B18" s="58" t="s">
        <v>8</v>
      </c>
      <c r="C18" s="8" t="s">
        <v>39</v>
      </c>
      <c r="D18" s="84">
        <v>45273</v>
      </c>
      <c r="E18" s="84">
        <v>45461</v>
      </c>
      <c r="F18" s="8" t="s">
        <v>77</v>
      </c>
      <c r="G18" s="84">
        <v>32031</v>
      </c>
      <c r="H18" s="21">
        <f t="shared" si="0"/>
        <v>36</v>
      </c>
      <c r="I18" s="8">
        <v>2</v>
      </c>
      <c r="J18" s="8">
        <v>32</v>
      </c>
      <c r="K18" s="8" t="s">
        <v>30</v>
      </c>
      <c r="L18" s="8" t="s">
        <v>78</v>
      </c>
      <c r="M18" s="66" t="s">
        <v>4</v>
      </c>
      <c r="N18" s="8" t="s">
        <v>154</v>
      </c>
      <c r="O18" s="8"/>
      <c r="P18" s="81">
        <f>28+6/7</f>
        <v>28.857142857142858</v>
      </c>
      <c r="Q18" s="8">
        <v>2</v>
      </c>
      <c r="R18" s="8">
        <v>0</v>
      </c>
      <c r="S18" s="8">
        <v>1</v>
      </c>
      <c r="T18" s="5" t="s">
        <v>80</v>
      </c>
      <c r="U18" s="5" t="s">
        <v>95</v>
      </c>
      <c r="V18" s="5" t="s">
        <v>78</v>
      </c>
      <c r="W18" s="5" t="s">
        <v>559</v>
      </c>
      <c r="X18" s="5" t="s">
        <v>82</v>
      </c>
      <c r="Y18" s="5" t="s">
        <v>351</v>
      </c>
      <c r="Z18" s="8" t="s">
        <v>39</v>
      </c>
      <c r="AA18" s="12">
        <v>45530</v>
      </c>
      <c r="AB18" s="80">
        <f>38+6/7</f>
        <v>38.857142857142854</v>
      </c>
      <c r="AC18" s="5" t="s">
        <v>92</v>
      </c>
      <c r="AD18" s="5" t="s">
        <v>367</v>
      </c>
      <c r="AE18" s="15">
        <f t="shared" si="1"/>
        <v>69</v>
      </c>
      <c r="AF18" s="5">
        <v>0</v>
      </c>
      <c r="AG18" s="5"/>
      <c r="AH18" s="5" t="s">
        <v>80</v>
      </c>
      <c r="AI18" s="5" t="s">
        <v>94</v>
      </c>
      <c r="AJ18" s="5" t="s">
        <v>82</v>
      </c>
      <c r="AK18" s="5" t="s">
        <v>351</v>
      </c>
      <c r="AL18" s="5" t="s">
        <v>207</v>
      </c>
      <c r="AM18" s="80">
        <v>39</v>
      </c>
      <c r="AN18" s="5" t="s">
        <v>389</v>
      </c>
    </row>
    <row r="19" spans="1:40" x14ac:dyDescent="0.25">
      <c r="A19" s="57">
        <v>520145</v>
      </c>
      <c r="B19" s="58" t="s">
        <v>8</v>
      </c>
      <c r="C19" s="8" t="s">
        <v>39</v>
      </c>
      <c r="D19" s="84">
        <v>45241</v>
      </c>
      <c r="E19" s="84">
        <v>45429</v>
      </c>
      <c r="F19" s="8" t="s">
        <v>77</v>
      </c>
      <c r="G19" s="84">
        <v>28942</v>
      </c>
      <c r="H19" s="21">
        <f t="shared" si="0"/>
        <v>44</v>
      </c>
      <c r="I19" s="8">
        <v>3</v>
      </c>
      <c r="J19" s="8">
        <v>27</v>
      </c>
      <c r="K19" s="8" t="s">
        <v>30</v>
      </c>
      <c r="L19" s="8" t="s">
        <v>78</v>
      </c>
      <c r="M19" s="8"/>
      <c r="N19" s="8"/>
      <c r="O19" s="8"/>
      <c r="P19" s="81">
        <f>28+6/7</f>
        <v>28.857142857142858</v>
      </c>
      <c r="Q19" s="8">
        <v>2</v>
      </c>
      <c r="R19" s="8">
        <v>0</v>
      </c>
      <c r="S19" s="8">
        <v>1</v>
      </c>
      <c r="T19" s="5" t="s">
        <v>80</v>
      </c>
      <c r="U19" s="5" t="s">
        <v>95</v>
      </c>
      <c r="V19" s="5" t="s">
        <v>78</v>
      </c>
      <c r="W19" s="5" t="s">
        <v>559</v>
      </c>
      <c r="X19" s="5" t="s">
        <v>82</v>
      </c>
      <c r="Y19" s="5" t="s">
        <v>351</v>
      </c>
      <c r="Z19" s="8" t="s">
        <v>39</v>
      </c>
      <c r="AA19" s="12">
        <v>45512</v>
      </c>
      <c r="AB19" s="80">
        <v>41</v>
      </c>
      <c r="AC19" s="5"/>
      <c r="AD19" s="5" t="s">
        <v>207</v>
      </c>
      <c r="AE19" s="15">
        <f t="shared" si="1"/>
        <v>83</v>
      </c>
      <c r="AF19" s="5">
        <v>0</v>
      </c>
      <c r="AG19" s="5"/>
      <c r="AH19" s="5" t="s">
        <v>80</v>
      </c>
      <c r="AI19" s="5" t="s">
        <v>334</v>
      </c>
      <c r="AJ19" s="5" t="s">
        <v>82</v>
      </c>
      <c r="AK19" s="5" t="s">
        <v>351</v>
      </c>
      <c r="AL19" s="5" t="s">
        <v>347</v>
      </c>
      <c r="AM19" s="80">
        <v>41</v>
      </c>
      <c r="AN19" s="5" t="s">
        <v>347</v>
      </c>
    </row>
    <row r="20" spans="1:40" ht="30" x14ac:dyDescent="0.25">
      <c r="A20" s="57" t="s">
        <v>24</v>
      </c>
      <c r="B20" s="58" t="s">
        <v>23</v>
      </c>
      <c r="C20" s="8" t="s">
        <v>39</v>
      </c>
      <c r="D20" s="84">
        <v>45037</v>
      </c>
      <c r="E20" s="84">
        <v>45237</v>
      </c>
      <c r="F20" s="8" t="s">
        <v>77</v>
      </c>
      <c r="G20" s="84">
        <v>36525</v>
      </c>
      <c r="H20" s="21">
        <f t="shared" si="0"/>
        <v>23</v>
      </c>
      <c r="I20" s="8">
        <v>2</v>
      </c>
      <c r="J20" s="8">
        <v>35</v>
      </c>
      <c r="K20" s="8" t="s">
        <v>30</v>
      </c>
      <c r="L20" s="8" t="s">
        <v>78</v>
      </c>
      <c r="M20" s="8" t="s">
        <v>182</v>
      </c>
      <c r="N20" s="8"/>
      <c r="O20" s="8"/>
      <c r="P20" s="81">
        <f>29+1/7</f>
        <v>29.142857142857142</v>
      </c>
      <c r="Q20" s="8">
        <v>2</v>
      </c>
      <c r="R20" s="8">
        <v>0</v>
      </c>
      <c r="S20" s="8">
        <v>1</v>
      </c>
      <c r="T20" s="5" t="s">
        <v>80</v>
      </c>
      <c r="U20" s="5" t="s">
        <v>95</v>
      </c>
      <c r="V20" s="5" t="s">
        <v>78</v>
      </c>
      <c r="W20" s="5" t="s">
        <v>559</v>
      </c>
      <c r="X20" s="5" t="s">
        <v>82</v>
      </c>
      <c r="Y20" s="5" t="s">
        <v>373</v>
      </c>
      <c r="Z20" s="8" t="s">
        <v>39</v>
      </c>
      <c r="AA20" s="12">
        <v>45305</v>
      </c>
      <c r="AB20" s="80">
        <f>38+5/7</f>
        <v>38.714285714285715</v>
      </c>
      <c r="AC20" s="5"/>
      <c r="AD20" s="5" t="s">
        <v>207</v>
      </c>
      <c r="AE20" s="15">
        <f t="shared" si="1"/>
        <v>68</v>
      </c>
      <c r="AF20" s="5">
        <v>1</v>
      </c>
      <c r="AG20" s="27" t="s">
        <v>415</v>
      </c>
      <c r="AH20" s="5" t="s">
        <v>80</v>
      </c>
      <c r="AI20" s="5" t="s">
        <v>334</v>
      </c>
      <c r="AJ20" s="5" t="s">
        <v>82</v>
      </c>
      <c r="AK20" s="5" t="s">
        <v>373</v>
      </c>
      <c r="AL20" s="5" t="s">
        <v>367</v>
      </c>
      <c r="AM20" s="80">
        <v>39</v>
      </c>
      <c r="AN20" s="5" t="s">
        <v>343</v>
      </c>
    </row>
    <row r="21" spans="1:40" ht="30" x14ac:dyDescent="0.25">
      <c r="A21" s="60">
        <v>525713</v>
      </c>
      <c r="B21" s="58" t="s">
        <v>23</v>
      </c>
      <c r="C21" s="8" t="s">
        <v>39</v>
      </c>
      <c r="D21" s="84">
        <v>45403</v>
      </c>
      <c r="E21" s="84">
        <v>45594</v>
      </c>
      <c r="F21" s="8" t="s">
        <v>78</v>
      </c>
      <c r="G21" s="84">
        <v>31503</v>
      </c>
      <c r="H21" s="21">
        <f t="shared" si="0"/>
        <v>38</v>
      </c>
      <c r="I21" s="8">
        <v>3</v>
      </c>
      <c r="J21" s="8" t="s">
        <v>208</v>
      </c>
      <c r="K21" s="8" t="s">
        <v>30</v>
      </c>
      <c r="L21" s="8" t="s">
        <v>78</v>
      </c>
      <c r="M21" s="46" t="s">
        <v>547</v>
      </c>
      <c r="N21" s="8" t="s">
        <v>154</v>
      </c>
      <c r="O21" s="8"/>
      <c r="P21" s="81">
        <f>29+2/7</f>
        <v>29.285714285714285</v>
      </c>
      <c r="Q21" s="8">
        <v>2</v>
      </c>
      <c r="R21" s="8">
        <v>0</v>
      </c>
      <c r="S21" s="8">
        <v>1</v>
      </c>
      <c r="T21" s="5" t="s">
        <v>80</v>
      </c>
      <c r="U21" s="5" t="s">
        <v>95</v>
      </c>
      <c r="V21" s="5" t="s">
        <v>77</v>
      </c>
      <c r="W21" s="13" t="s">
        <v>558</v>
      </c>
      <c r="X21" s="5" t="s">
        <v>431</v>
      </c>
      <c r="Y21" s="5" t="s">
        <v>373</v>
      </c>
      <c r="Z21" s="8" t="s">
        <v>39</v>
      </c>
      <c r="AA21" s="12">
        <v>45597</v>
      </c>
      <c r="AB21" s="80">
        <f>29+5/7</f>
        <v>29.714285714285715</v>
      </c>
      <c r="AC21" s="5" t="s">
        <v>4</v>
      </c>
      <c r="AD21" s="13" t="s">
        <v>571</v>
      </c>
      <c r="AE21" s="15">
        <f t="shared" si="1"/>
        <v>3</v>
      </c>
      <c r="AF21" s="5">
        <v>1</v>
      </c>
      <c r="AG21" s="5" t="s">
        <v>127</v>
      </c>
      <c r="AH21" s="5" t="s">
        <v>80</v>
      </c>
      <c r="AI21" s="13" t="s">
        <v>153</v>
      </c>
      <c r="AJ21" s="5" t="s">
        <v>432</v>
      </c>
      <c r="AK21" s="13" t="s">
        <v>434</v>
      </c>
      <c r="AL21" s="5" t="s">
        <v>4</v>
      </c>
      <c r="AM21" s="83">
        <f>30+2/7</f>
        <v>30.285714285714285</v>
      </c>
      <c r="AN21" s="27" t="s">
        <v>507</v>
      </c>
    </row>
    <row r="22" spans="1:40" ht="60" x14ac:dyDescent="0.25">
      <c r="A22" s="60">
        <v>525515</v>
      </c>
      <c r="B22" s="58" t="s">
        <v>8</v>
      </c>
      <c r="C22" s="8" t="s">
        <v>39</v>
      </c>
      <c r="D22" s="84">
        <v>45397</v>
      </c>
      <c r="E22" s="84">
        <v>45588</v>
      </c>
      <c r="F22" s="8" t="s">
        <v>77</v>
      </c>
      <c r="G22" s="84">
        <v>30269</v>
      </c>
      <c r="H22" s="21">
        <f t="shared" si="0"/>
        <v>41</v>
      </c>
      <c r="I22" s="8">
        <v>4</v>
      </c>
      <c r="J22" s="8">
        <v>34</v>
      </c>
      <c r="K22" s="8" t="s">
        <v>30</v>
      </c>
      <c r="L22" s="8" t="s">
        <v>78</v>
      </c>
      <c r="M22" s="8"/>
      <c r="N22" s="8" t="s">
        <v>181</v>
      </c>
      <c r="O22" s="46"/>
      <c r="P22" s="81">
        <f>29+2/7</f>
        <v>29.285714285714285</v>
      </c>
      <c r="Q22" s="8">
        <v>2</v>
      </c>
      <c r="R22" s="8">
        <v>0</v>
      </c>
      <c r="S22" s="8">
        <v>1</v>
      </c>
      <c r="T22" s="5" t="s">
        <v>80</v>
      </c>
      <c r="U22" s="5" t="s">
        <v>95</v>
      </c>
      <c r="V22" s="5" t="s">
        <v>78</v>
      </c>
      <c r="W22" s="5" t="s">
        <v>559</v>
      </c>
      <c r="X22" s="5" t="s">
        <v>82</v>
      </c>
      <c r="Y22" s="5" t="s">
        <v>351</v>
      </c>
      <c r="Z22" s="8" t="s">
        <v>39</v>
      </c>
      <c r="AA22" s="12">
        <v>45647</v>
      </c>
      <c r="AB22" s="80">
        <f>37+4/7</f>
        <v>37.571428571428569</v>
      </c>
      <c r="AC22" s="5"/>
      <c r="AD22" s="5" t="s">
        <v>134</v>
      </c>
      <c r="AE22" s="15">
        <f t="shared" si="1"/>
        <v>59</v>
      </c>
      <c r="AF22" s="5">
        <v>2</v>
      </c>
      <c r="AG22" s="13" t="s">
        <v>396</v>
      </c>
      <c r="AH22" s="5" t="s">
        <v>80</v>
      </c>
      <c r="AI22" s="5" t="s">
        <v>107</v>
      </c>
      <c r="AJ22" s="5" t="s">
        <v>82</v>
      </c>
      <c r="AK22" s="5" t="s">
        <v>351</v>
      </c>
      <c r="AL22" s="5" t="s">
        <v>134</v>
      </c>
      <c r="AM22" s="80">
        <f>37+4/7</f>
        <v>37.571428571428569</v>
      </c>
      <c r="AN22" s="5"/>
    </row>
    <row r="23" spans="1:40" x14ac:dyDescent="0.25">
      <c r="A23" s="57">
        <v>519206</v>
      </c>
      <c r="B23" s="58" t="s">
        <v>8</v>
      </c>
      <c r="C23" s="8" t="s">
        <v>39</v>
      </c>
      <c r="D23" s="84">
        <v>45221</v>
      </c>
      <c r="E23" s="84">
        <v>45412</v>
      </c>
      <c r="F23" s="8" t="s">
        <v>77</v>
      </c>
      <c r="G23" s="84">
        <v>30317</v>
      </c>
      <c r="H23" s="21">
        <f t="shared" si="0"/>
        <v>40</v>
      </c>
      <c r="I23" s="8">
        <v>2</v>
      </c>
      <c r="J23" s="8">
        <v>32</v>
      </c>
      <c r="K23" s="8" t="s">
        <v>30</v>
      </c>
      <c r="L23" s="8" t="s">
        <v>78</v>
      </c>
      <c r="M23" s="8"/>
      <c r="N23" s="8"/>
      <c r="O23" s="8"/>
      <c r="P23" s="81">
        <f>29+2/7</f>
        <v>29.285714285714285</v>
      </c>
      <c r="Q23" s="8">
        <v>2</v>
      </c>
      <c r="R23" s="8">
        <v>0</v>
      </c>
      <c r="S23" s="8">
        <v>1</v>
      </c>
      <c r="T23" s="5" t="s">
        <v>80</v>
      </c>
      <c r="U23" s="5" t="s">
        <v>95</v>
      </c>
      <c r="V23" s="5" t="s">
        <v>78</v>
      </c>
      <c r="W23" s="5" t="s">
        <v>559</v>
      </c>
      <c r="X23" s="5" t="s">
        <v>82</v>
      </c>
      <c r="Y23" s="5" t="s">
        <v>351</v>
      </c>
      <c r="Z23" s="8" t="s">
        <v>39</v>
      </c>
      <c r="AA23" s="12">
        <v>45471</v>
      </c>
      <c r="AB23" s="80">
        <v>39</v>
      </c>
      <c r="AC23" s="5"/>
      <c r="AD23" s="5" t="s">
        <v>134</v>
      </c>
      <c r="AE23" s="15">
        <f t="shared" si="1"/>
        <v>59</v>
      </c>
      <c r="AF23" s="5">
        <v>0</v>
      </c>
      <c r="AG23" s="5"/>
      <c r="AH23" s="5" t="s">
        <v>80</v>
      </c>
      <c r="AI23" s="5" t="s">
        <v>94</v>
      </c>
      <c r="AJ23" s="5" t="s">
        <v>82</v>
      </c>
      <c r="AK23" s="5" t="s">
        <v>351</v>
      </c>
      <c r="AL23" s="5" t="s">
        <v>134</v>
      </c>
      <c r="AM23" s="80">
        <f>39</f>
        <v>39</v>
      </c>
      <c r="AN23" s="5"/>
    </row>
    <row r="24" spans="1:40" ht="45" x14ac:dyDescent="0.25">
      <c r="A24" s="57">
        <v>517489</v>
      </c>
      <c r="B24" s="58" t="s">
        <v>23</v>
      </c>
      <c r="C24" s="8" t="s">
        <v>39</v>
      </c>
      <c r="D24" s="84">
        <v>45289</v>
      </c>
      <c r="E24" s="84">
        <v>45484</v>
      </c>
      <c r="F24" s="8" t="s">
        <v>78</v>
      </c>
      <c r="G24" s="84">
        <v>31058</v>
      </c>
      <c r="H24" s="21">
        <f t="shared" si="0"/>
        <v>38</v>
      </c>
      <c r="I24" s="8">
        <v>4</v>
      </c>
      <c r="J24" s="8">
        <v>38</v>
      </c>
      <c r="K24" s="8" t="s">
        <v>30</v>
      </c>
      <c r="L24" s="8" t="s">
        <v>78</v>
      </c>
      <c r="M24" s="8"/>
      <c r="N24" s="8" t="s">
        <v>92</v>
      </c>
      <c r="O24" s="8"/>
      <c r="P24" s="81">
        <f>29+5/7</f>
        <v>29.714285714285715</v>
      </c>
      <c r="Q24" s="8">
        <v>2</v>
      </c>
      <c r="R24" s="8">
        <v>0</v>
      </c>
      <c r="S24" s="8">
        <v>1</v>
      </c>
      <c r="T24" s="5" t="s">
        <v>80</v>
      </c>
      <c r="U24" s="5" t="s">
        <v>95</v>
      </c>
      <c r="V24" s="5" t="s">
        <v>78</v>
      </c>
      <c r="W24" s="5" t="s">
        <v>559</v>
      </c>
      <c r="X24" s="5" t="s">
        <v>82</v>
      </c>
      <c r="Y24" s="5" t="s">
        <v>373</v>
      </c>
      <c r="Z24" s="8" t="s">
        <v>39</v>
      </c>
      <c r="AA24" s="12">
        <v>45540</v>
      </c>
      <c r="AB24" s="80">
        <f>37+6/7</f>
        <v>37.857142857142854</v>
      </c>
      <c r="AC24" s="5"/>
      <c r="AD24" s="5" t="s">
        <v>207</v>
      </c>
      <c r="AE24" s="15">
        <f t="shared" si="1"/>
        <v>56</v>
      </c>
      <c r="AF24" s="5">
        <v>0</v>
      </c>
      <c r="AG24" s="5"/>
      <c r="AH24" s="5" t="s">
        <v>71</v>
      </c>
      <c r="AI24" s="5" t="s">
        <v>94</v>
      </c>
      <c r="AJ24" s="13" t="s">
        <v>490</v>
      </c>
      <c r="AK24" s="5" t="s">
        <v>373</v>
      </c>
      <c r="AL24" s="6" t="s">
        <v>207</v>
      </c>
      <c r="AM24" s="80">
        <v>38</v>
      </c>
      <c r="AN24" s="13" t="s">
        <v>489</v>
      </c>
    </row>
    <row r="25" spans="1:40" ht="30" x14ac:dyDescent="0.25">
      <c r="A25" s="60">
        <v>492686</v>
      </c>
      <c r="B25" s="6" t="s">
        <v>7</v>
      </c>
      <c r="C25" s="8" t="s">
        <v>5</v>
      </c>
      <c r="D25" s="84">
        <v>45269</v>
      </c>
      <c r="E25" s="84">
        <v>45467</v>
      </c>
      <c r="F25" s="8" t="s">
        <v>77</v>
      </c>
      <c r="G25" s="84">
        <v>33111</v>
      </c>
      <c r="H25" s="21">
        <f t="shared" si="0"/>
        <v>33</v>
      </c>
      <c r="I25" s="8">
        <v>1</v>
      </c>
      <c r="J25" s="8">
        <v>32</v>
      </c>
      <c r="K25" s="8" t="s">
        <v>135</v>
      </c>
      <c r="L25" s="8" t="s">
        <v>78</v>
      </c>
      <c r="M25" s="46" t="s">
        <v>4</v>
      </c>
      <c r="N25" s="8" t="s">
        <v>92</v>
      </c>
      <c r="O25" s="8"/>
      <c r="P25" s="81">
        <f>29+6/7</f>
        <v>29.857142857142858</v>
      </c>
      <c r="Q25" s="8">
        <v>2</v>
      </c>
      <c r="R25" s="8">
        <v>1</v>
      </c>
      <c r="S25" s="8" t="s">
        <v>253</v>
      </c>
      <c r="T25" s="5" t="s">
        <v>80</v>
      </c>
      <c r="U25" s="5" t="s">
        <v>95</v>
      </c>
      <c r="V25" s="5" t="s">
        <v>78</v>
      </c>
      <c r="W25" s="13" t="s">
        <v>558</v>
      </c>
      <c r="X25" s="6" t="s">
        <v>82</v>
      </c>
      <c r="Y25" s="5" t="s">
        <v>373</v>
      </c>
      <c r="Z25" s="8" t="s">
        <v>5</v>
      </c>
      <c r="AA25" s="12">
        <v>45523</v>
      </c>
      <c r="AB25" s="80">
        <f>38+2/7</f>
        <v>38.285714285714285</v>
      </c>
      <c r="AC25" s="5"/>
      <c r="AD25" s="5" t="s">
        <v>207</v>
      </c>
      <c r="AE25" s="15">
        <f t="shared" si="1"/>
        <v>56</v>
      </c>
      <c r="AF25" s="15">
        <v>0</v>
      </c>
      <c r="AG25" s="5" t="s">
        <v>252</v>
      </c>
      <c r="AH25" s="5" t="s">
        <v>80</v>
      </c>
      <c r="AI25" s="13" t="s">
        <v>173</v>
      </c>
      <c r="AJ25" s="5" t="s">
        <v>82</v>
      </c>
      <c r="AK25" s="6" t="s">
        <v>83</v>
      </c>
      <c r="AL25" s="5" t="s">
        <v>207</v>
      </c>
      <c r="AM25" s="80">
        <f>38+3/7</f>
        <v>38.428571428571431</v>
      </c>
      <c r="AN25" s="5" t="s">
        <v>4</v>
      </c>
    </row>
    <row r="26" spans="1:40" x14ac:dyDescent="0.25">
      <c r="A26" s="57">
        <v>520148</v>
      </c>
      <c r="B26" s="58" t="s">
        <v>8</v>
      </c>
      <c r="C26" s="8" t="s">
        <v>39</v>
      </c>
      <c r="D26" s="84">
        <v>45234</v>
      </c>
      <c r="E26" s="84">
        <v>45434</v>
      </c>
      <c r="F26" s="8" t="s">
        <v>77</v>
      </c>
      <c r="G26" s="84">
        <v>36886</v>
      </c>
      <c r="H26" s="21">
        <f t="shared" si="0"/>
        <v>22</v>
      </c>
      <c r="I26" s="8">
        <v>1</v>
      </c>
      <c r="J26" s="8">
        <v>46</v>
      </c>
      <c r="K26" s="8" t="s">
        <v>30</v>
      </c>
      <c r="L26" s="8" t="s">
        <v>78</v>
      </c>
      <c r="M26" s="8"/>
      <c r="N26" s="8" t="s">
        <v>154</v>
      </c>
      <c r="O26" s="8"/>
      <c r="P26" s="81">
        <f>30+4/7</f>
        <v>30.571428571428573</v>
      </c>
      <c r="Q26" s="8">
        <v>2</v>
      </c>
      <c r="R26" s="8">
        <v>0</v>
      </c>
      <c r="S26" s="8">
        <v>1</v>
      </c>
      <c r="T26" s="5" t="s">
        <v>80</v>
      </c>
      <c r="U26" s="5" t="s">
        <v>95</v>
      </c>
      <c r="V26" s="5" t="s">
        <v>78</v>
      </c>
      <c r="W26" s="5" t="s">
        <v>559</v>
      </c>
      <c r="X26" s="5" t="s">
        <v>82</v>
      </c>
      <c r="Y26" s="5" t="s">
        <v>351</v>
      </c>
      <c r="Z26" s="8" t="s">
        <v>39</v>
      </c>
      <c r="AA26" s="12">
        <v>45492</v>
      </c>
      <c r="AB26" s="80">
        <f>38+4/7</f>
        <v>38.571428571428569</v>
      </c>
      <c r="AC26" s="5"/>
      <c r="AD26" s="5" t="s">
        <v>367</v>
      </c>
      <c r="AE26" s="15">
        <f t="shared" si="1"/>
        <v>58</v>
      </c>
      <c r="AF26" s="5">
        <v>0</v>
      </c>
      <c r="AG26" s="5"/>
      <c r="AH26" s="5" t="s">
        <v>80</v>
      </c>
      <c r="AI26" s="5" t="s">
        <v>334</v>
      </c>
      <c r="AJ26" s="5" t="s">
        <v>82</v>
      </c>
      <c r="AK26" s="5" t="s">
        <v>351</v>
      </c>
      <c r="AL26" s="5" t="s">
        <v>207</v>
      </c>
      <c r="AM26" s="80">
        <f>39+2/7</f>
        <v>39.285714285714285</v>
      </c>
      <c r="AN26" s="5" t="s">
        <v>368</v>
      </c>
    </row>
    <row r="27" spans="1:40" ht="45" x14ac:dyDescent="0.25">
      <c r="A27" s="57">
        <v>408600</v>
      </c>
      <c r="B27" s="58" t="s">
        <v>23</v>
      </c>
      <c r="C27" s="8" t="s">
        <v>39</v>
      </c>
      <c r="D27" s="84">
        <v>45274</v>
      </c>
      <c r="E27" s="84">
        <v>45475</v>
      </c>
      <c r="F27" s="8" t="s">
        <v>77</v>
      </c>
      <c r="G27" s="84">
        <v>31677</v>
      </c>
      <c r="H27" s="21">
        <f t="shared" si="0"/>
        <v>37</v>
      </c>
      <c r="I27" s="8">
        <v>4</v>
      </c>
      <c r="J27" s="8">
        <v>35</v>
      </c>
      <c r="K27" s="8" t="s">
        <v>30</v>
      </c>
      <c r="L27" s="8" t="s">
        <v>78</v>
      </c>
      <c r="M27" s="46" t="s">
        <v>4</v>
      </c>
      <c r="N27" s="8" t="s">
        <v>181</v>
      </c>
      <c r="O27" s="8"/>
      <c r="P27" s="81">
        <f>30+5/7</f>
        <v>30.714285714285715</v>
      </c>
      <c r="Q27" s="8">
        <v>2</v>
      </c>
      <c r="R27" s="8">
        <v>0</v>
      </c>
      <c r="S27" s="8">
        <v>1</v>
      </c>
      <c r="T27" s="5" t="s">
        <v>80</v>
      </c>
      <c r="U27" s="5" t="s">
        <v>95</v>
      </c>
      <c r="V27" s="5" t="s">
        <v>78</v>
      </c>
      <c r="W27" s="5" t="s">
        <v>559</v>
      </c>
      <c r="X27" s="5" t="s">
        <v>82</v>
      </c>
      <c r="Y27" s="5" t="s">
        <v>373</v>
      </c>
      <c r="Z27" s="46" t="s">
        <v>39</v>
      </c>
      <c r="AA27" s="12">
        <v>45532</v>
      </c>
      <c r="AB27" s="80">
        <f>38+6/7</f>
        <v>38.857142857142854</v>
      </c>
      <c r="AC27" s="5"/>
      <c r="AD27" s="5" t="s">
        <v>207</v>
      </c>
      <c r="AE27" s="15">
        <f t="shared" si="1"/>
        <v>57</v>
      </c>
      <c r="AF27" s="5">
        <v>1</v>
      </c>
      <c r="AG27" s="13" t="s">
        <v>473</v>
      </c>
      <c r="AH27" s="5" t="s">
        <v>80</v>
      </c>
      <c r="AI27" s="5" t="s">
        <v>383</v>
      </c>
      <c r="AJ27" s="5" t="s">
        <v>82</v>
      </c>
      <c r="AK27" s="5" t="s">
        <v>373</v>
      </c>
      <c r="AL27" s="5" t="s">
        <v>207</v>
      </c>
      <c r="AM27" s="80">
        <v>39</v>
      </c>
      <c r="AN27" s="5" t="s">
        <v>475</v>
      </c>
    </row>
    <row r="28" spans="1:40" x14ac:dyDescent="0.25">
      <c r="A28" s="60">
        <v>472809</v>
      </c>
      <c r="B28" s="6" t="s">
        <v>7</v>
      </c>
      <c r="C28" s="46" t="s">
        <v>5</v>
      </c>
      <c r="D28" s="84">
        <v>45344</v>
      </c>
      <c r="E28" s="84">
        <v>45546</v>
      </c>
      <c r="F28" s="8" t="s">
        <v>77</v>
      </c>
      <c r="G28" s="84">
        <v>31729</v>
      </c>
      <c r="H28" s="21">
        <f t="shared" si="0"/>
        <v>37</v>
      </c>
      <c r="I28" s="8">
        <v>4</v>
      </c>
      <c r="J28" s="8">
        <v>37</v>
      </c>
      <c r="K28" s="8" t="s">
        <v>30</v>
      </c>
      <c r="L28" s="8" t="s">
        <v>78</v>
      </c>
      <c r="M28" s="46"/>
      <c r="N28" s="8" t="s">
        <v>181</v>
      </c>
      <c r="O28" s="8"/>
      <c r="P28" s="81">
        <f>30+6/7</f>
        <v>30.857142857142858</v>
      </c>
      <c r="Q28" s="8">
        <v>2</v>
      </c>
      <c r="R28" s="8">
        <v>1</v>
      </c>
      <c r="S28" s="8" t="s">
        <v>253</v>
      </c>
      <c r="T28" s="5" t="s">
        <v>80</v>
      </c>
      <c r="U28" s="5" t="s">
        <v>95</v>
      </c>
      <c r="V28" s="5" t="s">
        <v>78</v>
      </c>
      <c r="W28" s="5" t="s">
        <v>559</v>
      </c>
      <c r="X28" s="5" t="s">
        <v>82</v>
      </c>
      <c r="Y28" s="5" t="s">
        <v>373</v>
      </c>
      <c r="Z28" s="46" t="s">
        <v>5</v>
      </c>
      <c r="AA28" s="12">
        <v>45595</v>
      </c>
      <c r="AB28" s="80">
        <f>37+6/7</f>
        <v>37.857142857142854</v>
      </c>
      <c r="AC28" s="5"/>
      <c r="AD28" s="5" t="s">
        <v>207</v>
      </c>
      <c r="AE28" s="15">
        <f t="shared" si="1"/>
        <v>49</v>
      </c>
      <c r="AF28" s="15">
        <v>0</v>
      </c>
      <c r="AG28" s="5"/>
      <c r="AH28" s="5" t="s">
        <v>80</v>
      </c>
      <c r="AI28" s="5" t="s">
        <v>94</v>
      </c>
      <c r="AJ28" s="5" t="s">
        <v>82</v>
      </c>
      <c r="AK28" s="5" t="s">
        <v>83</v>
      </c>
      <c r="AL28" s="5" t="s">
        <v>207</v>
      </c>
      <c r="AM28" s="80">
        <f>38+2/7</f>
        <v>38.285714285714285</v>
      </c>
      <c r="AN28" s="5" t="s">
        <v>312</v>
      </c>
    </row>
    <row r="29" spans="1:40" x14ac:dyDescent="0.25">
      <c r="A29" s="57">
        <v>509004</v>
      </c>
      <c r="B29" s="58" t="s">
        <v>8</v>
      </c>
      <c r="C29" s="8" t="s">
        <v>39</v>
      </c>
      <c r="D29" s="84">
        <v>45040</v>
      </c>
      <c r="E29" s="84">
        <v>45246</v>
      </c>
      <c r="F29" s="8" t="s">
        <v>77</v>
      </c>
      <c r="G29" s="84">
        <v>36401</v>
      </c>
      <c r="H29" s="21">
        <f t="shared" si="0"/>
        <v>23</v>
      </c>
      <c r="I29" s="8">
        <v>0</v>
      </c>
      <c r="J29" s="8">
        <v>40</v>
      </c>
      <c r="K29" s="8" t="s">
        <v>30</v>
      </c>
      <c r="L29" s="8" t="s">
        <v>78</v>
      </c>
      <c r="M29" s="8"/>
      <c r="N29" s="8" t="s">
        <v>92</v>
      </c>
      <c r="O29" s="8"/>
      <c r="P29" s="81">
        <f>31+1/7</f>
        <v>31.142857142857142</v>
      </c>
      <c r="Q29" s="8">
        <v>2</v>
      </c>
      <c r="R29" s="8">
        <v>0</v>
      </c>
      <c r="S29" s="8">
        <v>1</v>
      </c>
      <c r="T29" s="5" t="s">
        <v>80</v>
      </c>
      <c r="U29" s="5" t="s">
        <v>95</v>
      </c>
      <c r="V29" s="5" t="s">
        <v>78</v>
      </c>
      <c r="W29" s="5" t="s">
        <v>559</v>
      </c>
      <c r="X29" s="5" t="s">
        <v>82</v>
      </c>
      <c r="Y29" s="5" t="s">
        <v>351</v>
      </c>
      <c r="Z29" s="8" t="s">
        <v>39</v>
      </c>
      <c r="AA29" s="12">
        <v>45300</v>
      </c>
      <c r="AB29" s="80">
        <f>38+3/7</f>
        <v>38.428571428571431</v>
      </c>
      <c r="AC29" s="5"/>
      <c r="AD29" s="5" t="s">
        <v>367</v>
      </c>
      <c r="AE29" s="15">
        <f t="shared" si="1"/>
        <v>54</v>
      </c>
      <c r="AF29" s="5">
        <v>0</v>
      </c>
      <c r="AG29" s="5"/>
      <c r="AH29" s="5" t="s">
        <v>71</v>
      </c>
      <c r="AI29" s="5" t="s">
        <v>94</v>
      </c>
      <c r="AJ29" s="5" t="s">
        <v>82</v>
      </c>
      <c r="AK29" s="5" t="s">
        <v>351</v>
      </c>
      <c r="AL29" s="5" t="s">
        <v>207</v>
      </c>
      <c r="AM29" s="80">
        <f>38+4/7</f>
        <v>38.571428571428569</v>
      </c>
      <c r="AN29" s="5" t="s">
        <v>368</v>
      </c>
    </row>
    <row r="30" spans="1:40" ht="45" x14ac:dyDescent="0.25">
      <c r="A30" s="62">
        <v>509863</v>
      </c>
      <c r="B30" s="58" t="s">
        <v>23</v>
      </c>
      <c r="C30" s="46" t="s">
        <v>39</v>
      </c>
      <c r="D30" s="84">
        <v>45082</v>
      </c>
      <c r="E30" s="84">
        <v>45286</v>
      </c>
      <c r="F30" s="8" t="s">
        <v>77</v>
      </c>
      <c r="G30" s="84">
        <v>32508</v>
      </c>
      <c r="H30" s="21">
        <f t="shared" si="0"/>
        <v>34</v>
      </c>
      <c r="I30" s="8">
        <v>2</v>
      </c>
      <c r="J30" s="8">
        <v>35</v>
      </c>
      <c r="K30" s="8" t="s">
        <v>30</v>
      </c>
      <c r="L30" s="8" t="s">
        <v>78</v>
      </c>
      <c r="M30" s="8"/>
      <c r="N30" s="8" t="s">
        <v>92</v>
      </c>
      <c r="O30" s="8"/>
      <c r="P30" s="81">
        <f>31+1/7</f>
        <v>31.142857142857142</v>
      </c>
      <c r="Q30" s="8">
        <v>2</v>
      </c>
      <c r="R30" s="8">
        <v>0</v>
      </c>
      <c r="S30" s="8">
        <v>1</v>
      </c>
      <c r="T30" s="5" t="s">
        <v>80</v>
      </c>
      <c r="U30" s="5" t="s">
        <v>95</v>
      </c>
      <c r="V30" s="5" t="s">
        <v>78</v>
      </c>
      <c r="W30" s="5" t="s">
        <v>559</v>
      </c>
      <c r="X30" s="5" t="s">
        <v>82</v>
      </c>
      <c r="Y30" s="5" t="s">
        <v>373</v>
      </c>
      <c r="Z30" s="8" t="s">
        <v>39</v>
      </c>
      <c r="AA30" s="12">
        <v>45335</v>
      </c>
      <c r="AB30" s="80">
        <f>38+1/7</f>
        <v>38.142857142857146</v>
      </c>
      <c r="AC30" s="5"/>
      <c r="AD30" s="13" t="s">
        <v>402</v>
      </c>
      <c r="AE30" s="15">
        <f t="shared" si="1"/>
        <v>49</v>
      </c>
      <c r="AF30" s="5">
        <v>1</v>
      </c>
      <c r="AG30" s="13" t="s">
        <v>414</v>
      </c>
      <c r="AH30" s="5" t="s">
        <v>80</v>
      </c>
      <c r="AI30" s="5" t="s">
        <v>210</v>
      </c>
      <c r="AJ30" s="5" t="s">
        <v>82</v>
      </c>
      <c r="AK30" s="5" t="s">
        <v>373</v>
      </c>
      <c r="AL30" s="6" t="s">
        <v>413</v>
      </c>
      <c r="AM30" s="83">
        <f>38+4/7</f>
        <v>38.571428571428569</v>
      </c>
      <c r="AN30" s="6" t="s">
        <v>134</v>
      </c>
    </row>
    <row r="31" spans="1:40" x14ac:dyDescent="0.25">
      <c r="A31" s="60">
        <v>526609</v>
      </c>
      <c r="B31" s="6" t="s">
        <v>7</v>
      </c>
      <c r="C31" s="46" t="s">
        <v>5</v>
      </c>
      <c r="D31" s="84">
        <v>45355</v>
      </c>
      <c r="E31" s="84">
        <v>45560</v>
      </c>
      <c r="F31" s="8" t="s">
        <v>77</v>
      </c>
      <c r="G31" s="84">
        <v>30707</v>
      </c>
      <c r="H31" s="21">
        <f t="shared" si="0"/>
        <v>40</v>
      </c>
      <c r="I31" s="8">
        <v>0</v>
      </c>
      <c r="J31" s="8">
        <v>26</v>
      </c>
      <c r="K31" s="8" t="s">
        <v>30</v>
      </c>
      <c r="L31" s="8" t="s">
        <v>78</v>
      </c>
      <c r="M31" s="46"/>
      <c r="N31" s="8" t="s">
        <v>92</v>
      </c>
      <c r="O31" s="8"/>
      <c r="P31" s="81">
        <f>31+2/7</f>
        <v>31.285714285714285</v>
      </c>
      <c r="Q31" s="8">
        <v>2</v>
      </c>
      <c r="R31" s="8">
        <v>1</v>
      </c>
      <c r="S31" s="8" t="s">
        <v>98</v>
      </c>
      <c r="T31" s="5" t="s">
        <v>80</v>
      </c>
      <c r="U31" s="5" t="s">
        <v>95</v>
      </c>
      <c r="V31" s="5" t="s">
        <v>78</v>
      </c>
      <c r="W31" s="5" t="s">
        <v>559</v>
      </c>
      <c r="X31" s="5" t="s">
        <v>82</v>
      </c>
      <c r="Y31" s="5" t="s">
        <v>373</v>
      </c>
      <c r="Z31" s="8" t="s">
        <v>5</v>
      </c>
      <c r="AA31" s="12">
        <v>45610</v>
      </c>
      <c r="AB31" s="80">
        <f>38+3/7</f>
        <v>38.428571428571431</v>
      </c>
      <c r="AC31" s="5"/>
      <c r="AD31" s="5" t="s">
        <v>207</v>
      </c>
      <c r="AE31" s="15">
        <f t="shared" si="1"/>
        <v>50</v>
      </c>
      <c r="AF31" s="15">
        <v>0</v>
      </c>
      <c r="AG31" s="5"/>
      <c r="AH31" s="5" t="s">
        <v>80</v>
      </c>
      <c r="AI31" s="5" t="s">
        <v>94</v>
      </c>
      <c r="AJ31" s="6" t="s">
        <v>82</v>
      </c>
      <c r="AK31" s="6" t="s">
        <v>83</v>
      </c>
      <c r="AL31" s="5" t="s">
        <v>207</v>
      </c>
      <c r="AM31" s="80">
        <f>38+6/7</f>
        <v>38.857142857142854</v>
      </c>
      <c r="AN31" s="5" t="s">
        <v>39</v>
      </c>
    </row>
    <row r="32" spans="1:40" ht="60" x14ac:dyDescent="0.25">
      <c r="A32" s="57">
        <v>516747</v>
      </c>
      <c r="B32" s="58" t="s">
        <v>23</v>
      </c>
      <c r="C32" s="8" t="s">
        <v>39</v>
      </c>
      <c r="D32" s="84">
        <v>45211</v>
      </c>
      <c r="E32" s="84">
        <v>45417</v>
      </c>
      <c r="F32" s="8" t="s">
        <v>77</v>
      </c>
      <c r="G32" s="84">
        <v>33454</v>
      </c>
      <c r="H32" s="21">
        <f t="shared" si="0"/>
        <v>32</v>
      </c>
      <c r="I32" s="8">
        <v>3</v>
      </c>
      <c r="J32" s="8">
        <v>48</v>
      </c>
      <c r="K32" s="8" t="s">
        <v>30</v>
      </c>
      <c r="L32" s="8" t="s">
        <v>78</v>
      </c>
      <c r="M32" s="8"/>
      <c r="N32" s="8" t="s">
        <v>154</v>
      </c>
      <c r="O32" s="8"/>
      <c r="P32" s="81">
        <f>31+3/7</f>
        <v>31.428571428571427</v>
      </c>
      <c r="Q32" s="8">
        <v>2</v>
      </c>
      <c r="R32" s="8">
        <v>0</v>
      </c>
      <c r="S32" s="8">
        <v>1</v>
      </c>
      <c r="T32" s="5" t="s">
        <v>71</v>
      </c>
      <c r="U32" s="5" t="s">
        <v>95</v>
      </c>
      <c r="V32" s="5" t="s">
        <v>78</v>
      </c>
      <c r="W32" s="5" t="s">
        <v>559</v>
      </c>
      <c r="X32" s="5" t="s">
        <v>82</v>
      </c>
      <c r="Y32" s="5" t="s">
        <v>373</v>
      </c>
      <c r="Z32" s="8" t="s">
        <v>39</v>
      </c>
      <c r="AA32" s="12">
        <v>45466</v>
      </c>
      <c r="AB32" s="80">
        <f>38+3/7</f>
        <v>38.428571428571431</v>
      </c>
      <c r="AC32" s="5"/>
      <c r="AD32" s="5" t="s">
        <v>134</v>
      </c>
      <c r="AE32" s="15">
        <f t="shared" si="1"/>
        <v>49</v>
      </c>
      <c r="AF32" s="5">
        <v>1</v>
      </c>
      <c r="AG32" s="13" t="s">
        <v>406</v>
      </c>
      <c r="AH32" s="5" t="s">
        <v>71</v>
      </c>
      <c r="AI32" s="5" t="s">
        <v>94</v>
      </c>
      <c r="AJ32" s="5" t="s">
        <v>82</v>
      </c>
      <c r="AK32" s="5" t="s">
        <v>373</v>
      </c>
      <c r="AL32" s="5" t="s">
        <v>134</v>
      </c>
      <c r="AM32" s="80">
        <f>38+3/7</f>
        <v>38.428571428571431</v>
      </c>
      <c r="AN32" s="5"/>
    </row>
    <row r="33" spans="1:40" ht="45" x14ac:dyDescent="0.25">
      <c r="A33" s="61">
        <v>512431</v>
      </c>
      <c r="B33" s="6" t="s">
        <v>7</v>
      </c>
      <c r="C33" s="8" t="s">
        <v>5</v>
      </c>
      <c r="D33" s="84">
        <v>45056</v>
      </c>
      <c r="E33" s="84">
        <v>45268</v>
      </c>
      <c r="F33" s="8" t="s">
        <v>77</v>
      </c>
      <c r="G33" s="84">
        <v>34025</v>
      </c>
      <c r="H33" s="21">
        <f t="shared" si="0"/>
        <v>30</v>
      </c>
      <c r="I33" s="8">
        <v>3</v>
      </c>
      <c r="J33" s="8">
        <v>43</v>
      </c>
      <c r="K33" s="8" t="s">
        <v>30</v>
      </c>
      <c r="L33" s="8" t="s">
        <v>78</v>
      </c>
      <c r="M33" s="8"/>
      <c r="N33" s="8" t="s">
        <v>92</v>
      </c>
      <c r="O33" s="8"/>
      <c r="P33" s="81">
        <f>32+2/7</f>
        <v>32.285714285714285</v>
      </c>
      <c r="Q33" s="8">
        <v>2</v>
      </c>
      <c r="R33" s="8">
        <v>0</v>
      </c>
      <c r="S33" s="8" t="s">
        <v>100</v>
      </c>
      <c r="T33" s="6" t="s">
        <v>71</v>
      </c>
      <c r="U33" s="27" t="s">
        <v>557</v>
      </c>
      <c r="V33" s="6" t="s">
        <v>78</v>
      </c>
      <c r="W33" s="6" t="s">
        <v>110</v>
      </c>
      <c r="X33" s="6" t="s">
        <v>82</v>
      </c>
      <c r="Y33" s="6" t="s">
        <v>373</v>
      </c>
      <c r="Z33" s="8" t="s">
        <v>39</v>
      </c>
      <c r="AA33" s="100">
        <v>45344</v>
      </c>
      <c r="AB33" s="83">
        <f>38+4/7</f>
        <v>38.571428571428569</v>
      </c>
      <c r="AC33" s="6"/>
      <c r="AD33" s="6" t="s">
        <v>207</v>
      </c>
      <c r="AE33" s="44">
        <f t="shared" si="1"/>
        <v>76</v>
      </c>
      <c r="AF33" s="44">
        <v>0</v>
      </c>
      <c r="AG33" s="6"/>
      <c r="AH33" s="6" t="s">
        <v>80</v>
      </c>
      <c r="AI33" s="6" t="s">
        <v>551</v>
      </c>
      <c r="AJ33" s="6"/>
      <c r="AK33" s="6"/>
      <c r="AL33" s="6" t="s">
        <v>207</v>
      </c>
      <c r="AM33" s="83">
        <f>39</f>
        <v>39</v>
      </c>
      <c r="AN33" s="6" t="s">
        <v>92</v>
      </c>
    </row>
    <row r="34" spans="1:40" x14ac:dyDescent="0.25">
      <c r="A34" s="64">
        <v>518824</v>
      </c>
      <c r="B34" s="6" t="s">
        <v>7</v>
      </c>
      <c r="C34" s="90" t="s">
        <v>76</v>
      </c>
      <c r="D34" s="87">
        <v>45182</v>
      </c>
      <c r="E34" s="87">
        <v>45394</v>
      </c>
      <c r="F34" s="86" t="s">
        <v>77</v>
      </c>
      <c r="G34" s="87">
        <v>30003</v>
      </c>
      <c r="H34" s="88">
        <f t="shared" ref="H34:H65" si="2">DATEDIF(G34,D34,"Y")</f>
        <v>41</v>
      </c>
      <c r="I34" s="86">
        <v>4</v>
      </c>
      <c r="J34" s="86">
        <v>31</v>
      </c>
      <c r="K34" s="86" t="s">
        <v>30</v>
      </c>
      <c r="L34" s="86" t="s">
        <v>78</v>
      </c>
      <c r="M34" s="86"/>
      <c r="N34" s="86" t="s">
        <v>181</v>
      </c>
      <c r="O34" s="86"/>
      <c r="P34" s="89">
        <f>32+2/7</f>
        <v>32.285714285714285</v>
      </c>
      <c r="Q34" s="86">
        <v>2</v>
      </c>
      <c r="R34" s="86">
        <v>1</v>
      </c>
      <c r="S34" s="86" t="s">
        <v>253</v>
      </c>
      <c r="T34" s="5" t="s">
        <v>80</v>
      </c>
      <c r="U34" s="5" t="s">
        <v>95</v>
      </c>
      <c r="V34" s="5" t="s">
        <v>78</v>
      </c>
      <c r="W34" s="5" t="s">
        <v>559</v>
      </c>
      <c r="X34" s="5" t="s">
        <v>82</v>
      </c>
      <c r="Y34" s="5" t="s">
        <v>373</v>
      </c>
      <c r="Z34" s="8" t="s">
        <v>39</v>
      </c>
      <c r="AA34" s="12">
        <v>45436</v>
      </c>
      <c r="AB34" s="80">
        <f>38+2/7</f>
        <v>38.285714285714285</v>
      </c>
      <c r="AC34" s="5"/>
      <c r="AD34" s="5" t="s">
        <v>207</v>
      </c>
      <c r="AE34" s="15">
        <f t="shared" ref="AE34:AE66" si="3">DATEDIF(E34,AA34,"D")</f>
        <v>42</v>
      </c>
      <c r="AF34" s="15">
        <v>0</v>
      </c>
      <c r="AG34" s="5"/>
      <c r="AH34" s="5" t="s">
        <v>80</v>
      </c>
      <c r="AI34" s="5" t="s">
        <v>210</v>
      </c>
      <c r="AJ34" s="5" t="s">
        <v>82</v>
      </c>
      <c r="AK34" s="5" t="s">
        <v>83</v>
      </c>
      <c r="AL34" s="5" t="s">
        <v>207</v>
      </c>
      <c r="AM34" s="80">
        <f>38+5/7</f>
        <v>38.714285714285715</v>
      </c>
      <c r="AN34" s="5" t="s">
        <v>312</v>
      </c>
    </row>
    <row r="35" spans="1:40" ht="30" x14ac:dyDescent="0.25">
      <c r="A35" s="57">
        <v>517507</v>
      </c>
      <c r="B35" s="6" t="s">
        <v>7</v>
      </c>
      <c r="C35" s="46" t="s">
        <v>5</v>
      </c>
      <c r="D35" s="84">
        <v>45153</v>
      </c>
      <c r="E35" s="84">
        <v>45366</v>
      </c>
      <c r="F35" s="8" t="s">
        <v>77</v>
      </c>
      <c r="G35" s="84">
        <v>32604</v>
      </c>
      <c r="H35" s="21">
        <f t="shared" si="2"/>
        <v>34</v>
      </c>
      <c r="I35" s="8">
        <v>3</v>
      </c>
      <c r="J35" s="8">
        <v>34</v>
      </c>
      <c r="K35" s="8" t="s">
        <v>30</v>
      </c>
      <c r="L35" s="8" t="s">
        <v>78</v>
      </c>
      <c r="M35" s="8"/>
      <c r="N35" s="8" t="s">
        <v>92</v>
      </c>
      <c r="O35" s="8"/>
      <c r="P35" s="81">
        <f>32+3/7</f>
        <v>32.428571428571431</v>
      </c>
      <c r="Q35" s="8">
        <v>2</v>
      </c>
      <c r="R35" s="8">
        <v>1</v>
      </c>
      <c r="S35" s="8" t="s">
        <v>98</v>
      </c>
      <c r="T35" s="5" t="s">
        <v>80</v>
      </c>
      <c r="U35" s="6" t="s">
        <v>95</v>
      </c>
      <c r="V35" s="5" t="s">
        <v>78</v>
      </c>
      <c r="W35" s="13" t="s">
        <v>558</v>
      </c>
      <c r="X35" s="6" t="s">
        <v>82</v>
      </c>
      <c r="Y35" s="5" t="s">
        <v>373</v>
      </c>
      <c r="Z35" s="8" t="s">
        <v>5</v>
      </c>
      <c r="AA35" s="12">
        <v>45398</v>
      </c>
      <c r="AB35" s="80">
        <v>37</v>
      </c>
      <c r="AC35" s="5"/>
      <c r="AD35" s="5" t="s">
        <v>207</v>
      </c>
      <c r="AE35" s="15">
        <f t="shared" si="3"/>
        <v>32</v>
      </c>
      <c r="AF35" s="15">
        <v>0</v>
      </c>
      <c r="AG35" s="5"/>
      <c r="AH35" s="5" t="s">
        <v>80</v>
      </c>
      <c r="AI35" s="13" t="s">
        <v>163</v>
      </c>
      <c r="AJ35" s="6" t="s">
        <v>82</v>
      </c>
      <c r="AK35" s="6" t="s">
        <v>83</v>
      </c>
      <c r="AL35" s="5" t="s">
        <v>207</v>
      </c>
      <c r="AM35" s="80">
        <v>37</v>
      </c>
      <c r="AN35" s="5" t="s">
        <v>4</v>
      </c>
    </row>
    <row r="36" spans="1:40" x14ac:dyDescent="0.25">
      <c r="A36" s="60">
        <v>525863</v>
      </c>
      <c r="B36" s="6" t="s">
        <v>7</v>
      </c>
      <c r="C36" s="46" t="s">
        <v>5</v>
      </c>
      <c r="D36" s="84">
        <v>45342</v>
      </c>
      <c r="E36" s="84">
        <v>45555</v>
      </c>
      <c r="F36" s="8" t="s">
        <v>77</v>
      </c>
      <c r="G36" s="84">
        <v>30887</v>
      </c>
      <c r="H36" s="21">
        <f t="shared" si="2"/>
        <v>39</v>
      </c>
      <c r="I36" s="8">
        <v>1</v>
      </c>
      <c r="J36" s="8">
        <v>38</v>
      </c>
      <c r="K36" s="8" t="s">
        <v>30</v>
      </c>
      <c r="L36" s="8" t="s">
        <v>78</v>
      </c>
      <c r="M36" s="46"/>
      <c r="N36" s="8" t="s">
        <v>181</v>
      </c>
      <c r="O36" s="8"/>
      <c r="P36" s="81">
        <f>32+3/7</f>
        <v>32.428571428571431</v>
      </c>
      <c r="Q36" s="8">
        <v>2</v>
      </c>
      <c r="R36" s="8">
        <v>1</v>
      </c>
      <c r="S36" s="8" t="s">
        <v>100</v>
      </c>
      <c r="T36" s="5" t="s">
        <v>80</v>
      </c>
      <c r="U36" s="5" t="s">
        <v>95</v>
      </c>
      <c r="V36" s="5" t="s">
        <v>78</v>
      </c>
      <c r="W36" s="5" t="s">
        <v>559</v>
      </c>
      <c r="X36" s="5" t="s">
        <v>82</v>
      </c>
      <c r="Y36" s="5" t="s">
        <v>373</v>
      </c>
      <c r="Z36" s="46" t="s">
        <v>5</v>
      </c>
      <c r="AA36" s="12">
        <v>45595</v>
      </c>
      <c r="AB36" s="80">
        <f>38+2/7</f>
        <v>38.285714285714285</v>
      </c>
      <c r="AC36" s="5"/>
      <c r="AD36" s="5" t="s">
        <v>207</v>
      </c>
      <c r="AE36" s="15">
        <f t="shared" si="3"/>
        <v>40</v>
      </c>
      <c r="AF36" s="15">
        <v>0</v>
      </c>
      <c r="AG36" s="5"/>
      <c r="AH36" s="5" t="s">
        <v>80</v>
      </c>
      <c r="AI36" s="5" t="s">
        <v>94</v>
      </c>
      <c r="AJ36" s="5"/>
      <c r="AK36" s="5" t="s">
        <v>83</v>
      </c>
      <c r="AL36" s="5" t="s">
        <v>207</v>
      </c>
      <c r="AM36" s="80">
        <f>38+3/7</f>
        <v>38.428571428571431</v>
      </c>
      <c r="AN36" s="5" t="s">
        <v>312</v>
      </c>
    </row>
    <row r="37" spans="1:40" ht="30" x14ac:dyDescent="0.25">
      <c r="A37" s="60">
        <v>524742</v>
      </c>
      <c r="B37" s="58" t="s">
        <v>23</v>
      </c>
      <c r="C37" s="8" t="s">
        <v>39</v>
      </c>
      <c r="D37" s="84">
        <v>45313</v>
      </c>
      <c r="E37" s="84">
        <v>45511</v>
      </c>
      <c r="F37" s="8" t="s">
        <v>78</v>
      </c>
      <c r="G37" s="84">
        <v>34934</v>
      </c>
      <c r="H37" s="21">
        <f t="shared" si="2"/>
        <v>28</v>
      </c>
      <c r="I37" s="8">
        <v>1</v>
      </c>
      <c r="J37" s="8">
        <v>31</v>
      </c>
      <c r="K37" s="8" t="s">
        <v>30</v>
      </c>
      <c r="L37" s="8" t="s">
        <v>78</v>
      </c>
      <c r="M37" s="8"/>
      <c r="N37" s="8" t="s">
        <v>92</v>
      </c>
      <c r="O37" s="8"/>
      <c r="P37" s="81">
        <f>32+6/7</f>
        <v>32.857142857142854</v>
      </c>
      <c r="Q37" s="8">
        <v>2</v>
      </c>
      <c r="R37" s="8">
        <v>0</v>
      </c>
      <c r="S37" s="8">
        <v>1</v>
      </c>
      <c r="T37" s="6" t="s">
        <v>80</v>
      </c>
      <c r="U37" s="6" t="s">
        <v>95</v>
      </c>
      <c r="V37" s="6" t="s">
        <v>78</v>
      </c>
      <c r="W37" s="6" t="s">
        <v>110</v>
      </c>
      <c r="X37" s="6" t="s">
        <v>82</v>
      </c>
      <c r="Y37" s="6" t="s">
        <v>373</v>
      </c>
      <c r="Z37" s="8" t="s">
        <v>39</v>
      </c>
      <c r="AA37" s="100">
        <v>45570</v>
      </c>
      <c r="AB37" s="83">
        <f>38+5/7</f>
        <v>38.714285714285715</v>
      </c>
      <c r="AC37" s="6"/>
      <c r="AD37" s="6" t="s">
        <v>207</v>
      </c>
      <c r="AE37" s="44">
        <f t="shared" si="3"/>
        <v>59</v>
      </c>
      <c r="AF37" s="6">
        <v>0</v>
      </c>
      <c r="AG37" s="6"/>
      <c r="AH37" s="6" t="s">
        <v>80</v>
      </c>
      <c r="AI37" s="6" t="s">
        <v>110</v>
      </c>
      <c r="AJ37" s="6" t="s">
        <v>82</v>
      </c>
      <c r="AK37" s="6" t="s">
        <v>373</v>
      </c>
      <c r="AL37" s="6" t="s">
        <v>207</v>
      </c>
      <c r="AM37" s="83">
        <f>39</f>
        <v>39</v>
      </c>
      <c r="AN37" s="27" t="s">
        <v>555</v>
      </c>
    </row>
    <row r="38" spans="1:40" ht="30" x14ac:dyDescent="0.25">
      <c r="A38" s="60">
        <v>529607</v>
      </c>
      <c r="B38" s="6" t="s">
        <v>7</v>
      </c>
      <c r="C38" s="40" t="s">
        <v>461</v>
      </c>
      <c r="D38" s="52">
        <v>45408</v>
      </c>
      <c r="E38" s="52">
        <v>45630</v>
      </c>
      <c r="F38" s="51" t="s">
        <v>77</v>
      </c>
      <c r="G38" s="52">
        <v>34049</v>
      </c>
      <c r="H38" s="39">
        <f t="shared" si="2"/>
        <v>31</v>
      </c>
      <c r="I38" s="51">
        <v>1</v>
      </c>
      <c r="J38" s="51" t="s">
        <v>208</v>
      </c>
      <c r="K38" s="51" t="s">
        <v>30</v>
      </c>
      <c r="L38" s="51" t="s">
        <v>78</v>
      </c>
      <c r="M38" s="51"/>
      <c r="N38" s="51" t="s">
        <v>92</v>
      </c>
      <c r="O38" s="40" t="s">
        <v>537</v>
      </c>
      <c r="P38" s="85">
        <f>33+5/7</f>
        <v>33.714285714285715</v>
      </c>
      <c r="Q38" s="51">
        <v>2</v>
      </c>
      <c r="R38" s="51"/>
      <c r="S38" s="51" t="s">
        <v>100</v>
      </c>
      <c r="T38" s="5" t="s">
        <v>80</v>
      </c>
      <c r="U38" s="6" t="s">
        <v>95</v>
      </c>
      <c r="V38" s="5" t="s">
        <v>78</v>
      </c>
      <c r="W38" s="5" t="s">
        <v>559</v>
      </c>
      <c r="X38" s="6" t="s">
        <v>82</v>
      </c>
      <c r="Y38" s="6" t="s">
        <v>212</v>
      </c>
      <c r="Z38" s="8" t="s">
        <v>5</v>
      </c>
      <c r="AA38" s="12">
        <v>45646</v>
      </c>
      <c r="AB38" s="80">
        <v>36</v>
      </c>
      <c r="AC38" s="5"/>
      <c r="AD38" s="5" t="s">
        <v>211</v>
      </c>
      <c r="AE38" s="15">
        <f t="shared" si="3"/>
        <v>16</v>
      </c>
      <c r="AF38" s="15">
        <v>0</v>
      </c>
      <c r="AG38" s="5"/>
      <c r="AH38" s="5" t="s">
        <v>80</v>
      </c>
      <c r="AI38" s="5" t="s">
        <v>210</v>
      </c>
      <c r="AJ38" s="6" t="s">
        <v>82</v>
      </c>
      <c r="AK38" s="5" t="s">
        <v>213</v>
      </c>
      <c r="AL38" s="5" t="s">
        <v>329</v>
      </c>
      <c r="AM38" s="83">
        <f>36+3/7</f>
        <v>36.428571428571431</v>
      </c>
      <c r="AN38" s="6" t="s">
        <v>4</v>
      </c>
    </row>
    <row r="39" spans="1:40" x14ac:dyDescent="0.25">
      <c r="A39" s="60">
        <v>524050</v>
      </c>
      <c r="B39" s="58" t="s">
        <v>23</v>
      </c>
      <c r="C39" s="8" t="s">
        <v>39</v>
      </c>
      <c r="D39" s="84">
        <v>45298</v>
      </c>
      <c r="E39" s="84">
        <v>45520</v>
      </c>
      <c r="F39" s="8" t="s">
        <v>77</v>
      </c>
      <c r="G39" s="84">
        <v>33515</v>
      </c>
      <c r="H39" s="21">
        <f t="shared" si="2"/>
        <v>32</v>
      </c>
      <c r="I39" s="8">
        <v>1</v>
      </c>
      <c r="J39" s="8">
        <v>30</v>
      </c>
      <c r="K39" s="8" t="s">
        <v>30</v>
      </c>
      <c r="L39" s="8" t="s">
        <v>78</v>
      </c>
      <c r="M39" s="8" t="s">
        <v>84</v>
      </c>
      <c r="N39" s="8"/>
      <c r="O39" s="8"/>
      <c r="P39" s="81">
        <f>33+5/7</f>
        <v>33.714285714285715</v>
      </c>
      <c r="Q39" s="8">
        <v>2</v>
      </c>
      <c r="R39" s="8">
        <v>0</v>
      </c>
      <c r="S39" s="8">
        <v>1</v>
      </c>
      <c r="T39" s="5" t="s">
        <v>80</v>
      </c>
      <c r="U39" s="5" t="s">
        <v>95</v>
      </c>
      <c r="V39" s="5" t="s">
        <v>78</v>
      </c>
      <c r="W39" s="5" t="s">
        <v>559</v>
      </c>
      <c r="X39" s="5" t="s">
        <v>82</v>
      </c>
      <c r="Y39" s="5" t="s">
        <v>373</v>
      </c>
      <c r="Z39" s="8" t="s">
        <v>39</v>
      </c>
      <c r="AA39" s="12">
        <v>45558</v>
      </c>
      <c r="AB39" s="80">
        <f>39+1/7</f>
        <v>39.142857142857146</v>
      </c>
      <c r="AC39" s="5"/>
      <c r="AD39" s="5" t="s">
        <v>134</v>
      </c>
      <c r="AE39" s="15">
        <f t="shared" si="3"/>
        <v>38</v>
      </c>
      <c r="AF39" s="5">
        <v>0</v>
      </c>
      <c r="AG39" s="5"/>
      <c r="AH39" s="5" t="s">
        <v>80</v>
      </c>
      <c r="AI39" s="5" t="s">
        <v>210</v>
      </c>
      <c r="AJ39" s="5" t="s">
        <v>82</v>
      </c>
      <c r="AK39" s="5" t="s">
        <v>373</v>
      </c>
      <c r="AL39" s="5" t="s">
        <v>134</v>
      </c>
      <c r="AM39" s="80">
        <f>39+1/7</f>
        <v>39.142857142857146</v>
      </c>
      <c r="AN39" s="5"/>
    </row>
    <row r="40" spans="1:40" x14ac:dyDescent="0.25">
      <c r="A40" s="57">
        <v>426355</v>
      </c>
      <c r="B40" s="58" t="s">
        <v>23</v>
      </c>
      <c r="C40" s="8" t="s">
        <v>39</v>
      </c>
      <c r="D40" s="84">
        <v>44976</v>
      </c>
      <c r="E40" s="84">
        <v>45351</v>
      </c>
      <c r="F40" s="8" t="s">
        <v>77</v>
      </c>
      <c r="G40" s="84">
        <v>31189</v>
      </c>
      <c r="H40" s="21">
        <f t="shared" si="2"/>
        <v>37</v>
      </c>
      <c r="I40" s="8">
        <v>4</v>
      </c>
      <c r="J40" s="8">
        <v>38</v>
      </c>
      <c r="K40" s="8" t="s">
        <v>30</v>
      </c>
      <c r="L40" s="8" t="s">
        <v>78</v>
      </c>
      <c r="M40" s="46" t="s">
        <v>84</v>
      </c>
      <c r="N40" s="8" t="s">
        <v>181</v>
      </c>
      <c r="O40" s="8"/>
      <c r="P40" s="81">
        <f>34+1/7</f>
        <v>34.142857142857146</v>
      </c>
      <c r="Q40" s="8">
        <v>2</v>
      </c>
      <c r="R40" s="8">
        <v>0</v>
      </c>
      <c r="S40" s="8">
        <v>1</v>
      </c>
      <c r="T40" s="6" t="s">
        <v>80</v>
      </c>
      <c r="U40" s="6" t="s">
        <v>95</v>
      </c>
      <c r="V40" s="6" t="s">
        <v>78</v>
      </c>
      <c r="W40" s="6" t="s">
        <v>110</v>
      </c>
      <c r="X40" s="6" t="s">
        <v>82</v>
      </c>
      <c r="Y40" s="6" t="s">
        <v>373</v>
      </c>
      <c r="Z40" s="8" t="s">
        <v>39</v>
      </c>
      <c r="AA40" s="100">
        <v>45384</v>
      </c>
      <c r="AB40" s="83">
        <f>38+6/7</f>
        <v>38.857142857142854</v>
      </c>
      <c r="AC40" s="6"/>
      <c r="AD40" s="6" t="s">
        <v>207</v>
      </c>
      <c r="AE40" s="44">
        <f t="shared" si="3"/>
        <v>33</v>
      </c>
      <c r="AF40" s="6">
        <v>0</v>
      </c>
      <c r="AG40" s="6"/>
      <c r="AH40" s="6" t="s">
        <v>80</v>
      </c>
      <c r="AI40" s="6" t="s">
        <v>110</v>
      </c>
      <c r="AJ40" s="6" t="s">
        <v>82</v>
      </c>
      <c r="AK40" s="6" t="s">
        <v>373</v>
      </c>
      <c r="AL40" s="6" t="s">
        <v>207</v>
      </c>
      <c r="AM40" s="83">
        <f>39</f>
        <v>39</v>
      </c>
      <c r="AN40" s="6" t="s">
        <v>181</v>
      </c>
    </row>
    <row r="41" spans="1:40" ht="45" x14ac:dyDescent="0.25">
      <c r="A41" s="64">
        <v>520476</v>
      </c>
      <c r="B41" s="6" t="s">
        <v>7</v>
      </c>
      <c r="C41" s="46" t="s">
        <v>39</v>
      </c>
      <c r="D41" s="84">
        <v>45201</v>
      </c>
      <c r="E41" s="84">
        <v>45436</v>
      </c>
      <c r="F41" s="8" t="s">
        <v>77</v>
      </c>
      <c r="G41" s="84">
        <v>30532</v>
      </c>
      <c r="H41" s="21">
        <f t="shared" si="2"/>
        <v>40</v>
      </c>
      <c r="I41" s="8">
        <v>4</v>
      </c>
      <c r="J41" s="8">
        <v>43</v>
      </c>
      <c r="K41" s="8" t="s">
        <v>30</v>
      </c>
      <c r="L41" s="8" t="s">
        <v>78</v>
      </c>
      <c r="M41" s="46"/>
      <c r="N41" s="8" t="s">
        <v>181</v>
      </c>
      <c r="O41" s="8"/>
      <c r="P41" s="81">
        <f>35+4/7</f>
        <v>35.571428571428569</v>
      </c>
      <c r="Q41" s="8">
        <v>2</v>
      </c>
      <c r="R41" s="8">
        <v>1</v>
      </c>
      <c r="S41" s="8" t="s">
        <v>100</v>
      </c>
      <c r="T41" s="6" t="s">
        <v>71</v>
      </c>
      <c r="U41" s="27" t="s">
        <v>557</v>
      </c>
      <c r="V41" s="6" t="s">
        <v>78</v>
      </c>
      <c r="W41" s="6" t="s">
        <v>110</v>
      </c>
      <c r="X41" s="6" t="s">
        <v>82</v>
      </c>
      <c r="Y41" s="6" t="s">
        <v>373</v>
      </c>
      <c r="Z41" s="8" t="s">
        <v>39</v>
      </c>
      <c r="AA41" s="100">
        <v>45465</v>
      </c>
      <c r="AB41" s="83">
        <f>38+2/7</f>
        <v>38.285714285714285</v>
      </c>
      <c r="AC41" s="6"/>
      <c r="AD41" s="6" t="s">
        <v>553</v>
      </c>
      <c r="AE41" s="44">
        <f t="shared" si="3"/>
        <v>29</v>
      </c>
      <c r="AF41" s="44">
        <v>0</v>
      </c>
      <c r="AG41" s="6"/>
      <c r="AH41" s="6" t="s">
        <v>71</v>
      </c>
      <c r="AI41" s="6">
        <v>0</v>
      </c>
      <c r="AJ41" s="6" t="s">
        <v>82</v>
      </c>
      <c r="AK41" s="6" t="s">
        <v>83</v>
      </c>
      <c r="AL41" s="6" t="s">
        <v>134</v>
      </c>
      <c r="AM41" s="83">
        <f>38+2/7</f>
        <v>38.285714285714285</v>
      </c>
      <c r="AN41" s="6"/>
    </row>
    <row r="42" spans="1:40" ht="90" x14ac:dyDescent="0.25">
      <c r="A42" s="60">
        <v>524225</v>
      </c>
      <c r="B42" s="6" t="s">
        <v>7</v>
      </c>
      <c r="C42" s="46" t="s">
        <v>5</v>
      </c>
      <c r="D42" s="84">
        <v>45346</v>
      </c>
      <c r="E42" s="84">
        <v>45516</v>
      </c>
      <c r="F42" s="8" t="s">
        <v>77</v>
      </c>
      <c r="G42" s="84">
        <v>32316</v>
      </c>
      <c r="H42" s="21">
        <f t="shared" si="2"/>
        <v>35</v>
      </c>
      <c r="I42" s="8">
        <v>1</v>
      </c>
      <c r="J42" s="8">
        <v>29</v>
      </c>
      <c r="K42" s="8" t="s">
        <v>30</v>
      </c>
      <c r="L42" s="8" t="s">
        <v>78</v>
      </c>
      <c r="M42" s="46" t="s">
        <v>542</v>
      </c>
      <c r="N42" s="46" t="s">
        <v>154</v>
      </c>
      <c r="O42" s="46"/>
      <c r="P42" s="81">
        <f>26</f>
        <v>26</v>
      </c>
      <c r="Q42" s="8">
        <v>3</v>
      </c>
      <c r="R42" s="8">
        <v>1</v>
      </c>
      <c r="S42" s="8" t="s">
        <v>98</v>
      </c>
      <c r="T42" s="5" t="s">
        <v>80</v>
      </c>
      <c r="U42" s="6" t="s">
        <v>95</v>
      </c>
      <c r="V42" s="5" t="s">
        <v>78</v>
      </c>
      <c r="W42" s="13" t="s">
        <v>558</v>
      </c>
      <c r="X42" s="6" t="s">
        <v>82</v>
      </c>
      <c r="Y42" s="6" t="s">
        <v>214</v>
      </c>
      <c r="Z42" s="8" t="s">
        <v>5</v>
      </c>
      <c r="AA42" s="12">
        <v>45596</v>
      </c>
      <c r="AB42" s="80">
        <f>37+5/7</f>
        <v>37.714285714285715</v>
      </c>
      <c r="AC42" s="5"/>
      <c r="AD42" s="5" t="s">
        <v>207</v>
      </c>
      <c r="AE42" s="15">
        <f t="shared" si="3"/>
        <v>80</v>
      </c>
      <c r="AF42" s="15">
        <v>2</v>
      </c>
      <c r="AG42" s="13" t="s">
        <v>216</v>
      </c>
      <c r="AH42" s="5" t="s">
        <v>80</v>
      </c>
      <c r="AI42" s="13" t="s">
        <v>173</v>
      </c>
      <c r="AJ42" s="6" t="s">
        <v>82</v>
      </c>
      <c r="AK42" s="6" t="s">
        <v>83</v>
      </c>
      <c r="AL42" s="5" t="s">
        <v>207</v>
      </c>
      <c r="AM42" s="80">
        <f>38+2/7</f>
        <v>38.285714285714285</v>
      </c>
      <c r="AN42" s="5" t="s">
        <v>39</v>
      </c>
    </row>
    <row r="43" spans="1:40" ht="60" x14ac:dyDescent="0.25">
      <c r="A43" s="59">
        <v>415784</v>
      </c>
      <c r="B43" s="59" t="s">
        <v>3</v>
      </c>
      <c r="C43" s="8" t="s">
        <v>39</v>
      </c>
      <c r="D43" s="84">
        <v>45147</v>
      </c>
      <c r="E43" s="84">
        <v>45317</v>
      </c>
      <c r="F43" s="8" t="s">
        <v>77</v>
      </c>
      <c r="G43" s="84">
        <v>29569</v>
      </c>
      <c r="H43" s="21">
        <f t="shared" si="2"/>
        <v>42</v>
      </c>
      <c r="I43" s="8">
        <v>3</v>
      </c>
      <c r="J43" s="8">
        <v>26</v>
      </c>
      <c r="K43" s="8" t="s">
        <v>30</v>
      </c>
      <c r="L43" s="8" t="s">
        <v>78</v>
      </c>
      <c r="M43" s="46"/>
      <c r="N43" s="46"/>
      <c r="O43" s="8"/>
      <c r="P43" s="81">
        <f>26+2/7</f>
        <v>26.285714285714285</v>
      </c>
      <c r="Q43" s="8">
        <v>3</v>
      </c>
      <c r="R43" s="8">
        <v>0</v>
      </c>
      <c r="S43" s="8" t="s">
        <v>98</v>
      </c>
      <c r="T43" s="6" t="s">
        <v>71</v>
      </c>
      <c r="U43" s="6" t="s">
        <v>95</v>
      </c>
      <c r="V43" s="5" t="s">
        <v>77</v>
      </c>
      <c r="W43" s="13" t="s">
        <v>560</v>
      </c>
      <c r="X43" s="6" t="s">
        <v>82</v>
      </c>
      <c r="Y43" s="5" t="s">
        <v>373</v>
      </c>
      <c r="Z43" s="8" t="s">
        <v>39</v>
      </c>
      <c r="AA43" s="12">
        <v>45374</v>
      </c>
      <c r="AB43" s="80">
        <f>34+3/7</f>
        <v>34.428571428571431</v>
      </c>
      <c r="AC43" s="5"/>
      <c r="AD43" s="27" t="s">
        <v>576</v>
      </c>
      <c r="AE43" s="15">
        <f t="shared" si="3"/>
        <v>57</v>
      </c>
      <c r="AF43" s="15">
        <v>1</v>
      </c>
      <c r="AG43" s="13" t="s">
        <v>147</v>
      </c>
      <c r="AH43" s="6" t="s">
        <v>71</v>
      </c>
      <c r="AI43" s="13" t="s">
        <v>146</v>
      </c>
      <c r="AJ43" s="6" t="s">
        <v>82</v>
      </c>
      <c r="AK43" s="6" t="s">
        <v>83</v>
      </c>
      <c r="AL43" s="6" t="s">
        <v>343</v>
      </c>
      <c r="AM43" s="83">
        <f>35+1/7</f>
        <v>35.142857142857146</v>
      </c>
      <c r="AN43" s="6" t="s">
        <v>343</v>
      </c>
    </row>
    <row r="44" spans="1:40" ht="30" x14ac:dyDescent="0.25">
      <c r="A44" s="59">
        <v>489542</v>
      </c>
      <c r="B44" s="59" t="s">
        <v>3</v>
      </c>
      <c r="C44" s="8" t="s">
        <v>5</v>
      </c>
      <c r="D44" s="84">
        <v>45400</v>
      </c>
      <c r="E44" s="84">
        <v>45576</v>
      </c>
      <c r="F44" s="8" t="s">
        <v>77</v>
      </c>
      <c r="G44" s="84">
        <v>33925</v>
      </c>
      <c r="H44" s="21">
        <f t="shared" si="2"/>
        <v>31</v>
      </c>
      <c r="I44" s="8">
        <v>1</v>
      </c>
      <c r="J44" s="8">
        <v>42</v>
      </c>
      <c r="K44" s="8" t="s">
        <v>30</v>
      </c>
      <c r="L44" s="8" t="s">
        <v>78</v>
      </c>
      <c r="M44" s="46" t="s">
        <v>546</v>
      </c>
      <c r="N44" s="46"/>
      <c r="O44" s="8"/>
      <c r="P44" s="81">
        <v>27</v>
      </c>
      <c r="Q44" s="8">
        <v>3</v>
      </c>
      <c r="R44" s="8">
        <v>0</v>
      </c>
      <c r="S44" s="8" t="s">
        <v>98</v>
      </c>
      <c r="T44" s="6" t="s">
        <v>71</v>
      </c>
      <c r="U44" s="6" t="s">
        <v>95</v>
      </c>
      <c r="V44" s="6" t="s">
        <v>78</v>
      </c>
      <c r="W44" s="13" t="s">
        <v>558</v>
      </c>
      <c r="X44" s="6" t="s">
        <v>82</v>
      </c>
      <c r="Y44" s="5" t="s">
        <v>373</v>
      </c>
      <c r="Z44" s="8" t="s">
        <v>39</v>
      </c>
      <c r="AA44" s="12">
        <v>45657</v>
      </c>
      <c r="AB44" s="80">
        <f>38+5/7</f>
        <v>38.714285714285715</v>
      </c>
      <c r="AC44" s="5"/>
      <c r="AD44" s="27" t="s">
        <v>282</v>
      </c>
      <c r="AE44" s="15">
        <f t="shared" si="3"/>
        <v>81</v>
      </c>
      <c r="AF44" s="15">
        <v>1</v>
      </c>
      <c r="AG44" s="13" t="s">
        <v>99</v>
      </c>
      <c r="AH44" s="6" t="s">
        <v>80</v>
      </c>
      <c r="AI44" s="13" t="s">
        <v>173</v>
      </c>
      <c r="AJ44" s="6" t="s">
        <v>82</v>
      </c>
      <c r="AK44" s="6" t="s">
        <v>83</v>
      </c>
      <c r="AL44" s="5" t="s">
        <v>260</v>
      </c>
      <c r="AM44" s="80">
        <f>38+5/7</f>
        <v>38.714285714285715</v>
      </c>
      <c r="AN44" s="5" t="s">
        <v>260</v>
      </c>
    </row>
    <row r="45" spans="1:40" ht="45" x14ac:dyDescent="0.25">
      <c r="A45" s="59">
        <v>485121</v>
      </c>
      <c r="B45" s="59" t="s">
        <v>3</v>
      </c>
      <c r="C45" s="8" t="s">
        <v>5</v>
      </c>
      <c r="D45" s="84">
        <v>45089</v>
      </c>
      <c r="E45" s="84">
        <v>45278</v>
      </c>
      <c r="F45" s="8" t="s">
        <v>77</v>
      </c>
      <c r="G45" s="84">
        <v>30613</v>
      </c>
      <c r="H45" s="21">
        <f t="shared" si="2"/>
        <v>39</v>
      </c>
      <c r="I45" s="8">
        <v>2</v>
      </c>
      <c r="J45" s="8">
        <v>28</v>
      </c>
      <c r="K45" s="8" t="s">
        <v>30</v>
      </c>
      <c r="L45" s="8" t="s">
        <v>78</v>
      </c>
      <c r="M45" s="46" t="s">
        <v>4</v>
      </c>
      <c r="N45" s="46"/>
      <c r="O45" s="8" t="s">
        <v>132</v>
      </c>
      <c r="P45" s="81">
        <f>27+5/7</f>
        <v>27.714285714285715</v>
      </c>
      <c r="Q45" s="8">
        <v>3</v>
      </c>
      <c r="R45" s="8">
        <v>0</v>
      </c>
      <c r="S45" s="8" t="s">
        <v>100</v>
      </c>
      <c r="T45" s="6" t="s">
        <v>80</v>
      </c>
      <c r="U45" s="6" t="s">
        <v>95</v>
      </c>
      <c r="V45" s="5" t="s">
        <v>77</v>
      </c>
      <c r="W45" s="13" t="s">
        <v>558</v>
      </c>
      <c r="X45" s="6" t="s">
        <v>82</v>
      </c>
      <c r="Y45" s="5" t="s">
        <v>373</v>
      </c>
      <c r="Z45" s="8" t="s">
        <v>39</v>
      </c>
      <c r="AA45" s="14">
        <v>45305</v>
      </c>
      <c r="AB45" s="80">
        <f>32+6/7</f>
        <v>32.857142857142854</v>
      </c>
      <c r="AC45" s="5"/>
      <c r="AD45" s="6" t="s">
        <v>134</v>
      </c>
      <c r="AE45" s="15">
        <f t="shared" si="3"/>
        <v>27</v>
      </c>
      <c r="AF45" s="15">
        <v>0</v>
      </c>
      <c r="AG45" s="5"/>
      <c r="AH45" s="6" t="s">
        <v>80</v>
      </c>
      <c r="AI45" s="13" t="s">
        <v>133</v>
      </c>
      <c r="AJ45" s="6" t="s">
        <v>82</v>
      </c>
      <c r="AK45" s="6" t="s">
        <v>83</v>
      </c>
      <c r="AL45" s="6" t="s">
        <v>134</v>
      </c>
      <c r="AM45" s="80">
        <f>32+6/7</f>
        <v>32.857142857142854</v>
      </c>
      <c r="AN45" s="5" t="s">
        <v>342</v>
      </c>
    </row>
    <row r="46" spans="1:40" x14ac:dyDescent="0.25">
      <c r="A46" s="57">
        <v>248481</v>
      </c>
      <c r="B46" s="58" t="s">
        <v>23</v>
      </c>
      <c r="C46" s="86" t="s">
        <v>76</v>
      </c>
      <c r="D46" s="87">
        <v>45563</v>
      </c>
      <c r="E46" s="87">
        <v>45378</v>
      </c>
      <c r="F46" s="86" t="s">
        <v>77</v>
      </c>
      <c r="G46" s="87">
        <v>31114</v>
      </c>
      <c r="H46" s="88">
        <f t="shared" si="2"/>
        <v>39</v>
      </c>
      <c r="I46" s="86">
        <v>1</v>
      </c>
      <c r="J46" s="86">
        <v>33</v>
      </c>
      <c r="K46" s="86" t="s">
        <v>30</v>
      </c>
      <c r="L46" s="86" t="s">
        <v>78</v>
      </c>
      <c r="M46" s="90" t="s">
        <v>76</v>
      </c>
      <c r="N46" s="86"/>
      <c r="O46" s="86"/>
      <c r="P46" s="89">
        <f>27+6/7</f>
        <v>27.857142857142858</v>
      </c>
      <c r="Q46" s="86">
        <v>3</v>
      </c>
      <c r="R46" s="86">
        <v>0</v>
      </c>
      <c r="S46" s="86">
        <v>1</v>
      </c>
      <c r="T46" s="5" t="s">
        <v>80</v>
      </c>
      <c r="U46" s="5" t="s">
        <v>95</v>
      </c>
      <c r="V46" s="5" t="s">
        <v>78</v>
      </c>
      <c r="W46" s="5" t="s">
        <v>559</v>
      </c>
      <c r="X46" s="5" t="s">
        <v>82</v>
      </c>
      <c r="Y46" s="5" t="s">
        <v>373</v>
      </c>
      <c r="Z46" s="8" t="s">
        <v>39</v>
      </c>
      <c r="AA46" s="12">
        <v>45429</v>
      </c>
      <c r="AB46" s="80">
        <f>35+1/7</f>
        <v>35.142857142857146</v>
      </c>
      <c r="AC46" s="5" t="s">
        <v>4</v>
      </c>
      <c r="AD46" s="27" t="s">
        <v>571</v>
      </c>
      <c r="AE46" s="15">
        <f t="shared" si="3"/>
        <v>51</v>
      </c>
      <c r="AF46" s="5">
        <v>1</v>
      </c>
      <c r="AG46" s="5" t="s">
        <v>4</v>
      </c>
      <c r="AH46" s="5" t="s">
        <v>80</v>
      </c>
      <c r="AI46" s="5" t="s">
        <v>94</v>
      </c>
      <c r="AJ46" s="5" t="s">
        <v>82</v>
      </c>
      <c r="AK46" s="5" t="s">
        <v>373</v>
      </c>
      <c r="AL46" s="6" t="s">
        <v>4</v>
      </c>
      <c r="AM46" s="83">
        <f>35+2/7</f>
        <v>35.285714285714285</v>
      </c>
      <c r="AN46" s="6" t="s">
        <v>4</v>
      </c>
    </row>
    <row r="47" spans="1:40" x14ac:dyDescent="0.25">
      <c r="A47" s="57">
        <v>517108</v>
      </c>
      <c r="B47" s="58" t="s">
        <v>23</v>
      </c>
      <c r="C47" s="8" t="s">
        <v>39</v>
      </c>
      <c r="D47" s="84">
        <v>45246</v>
      </c>
      <c r="E47" s="84">
        <v>45427</v>
      </c>
      <c r="F47" s="8" t="s">
        <v>77</v>
      </c>
      <c r="G47" s="84">
        <v>36326</v>
      </c>
      <c r="H47" s="21">
        <f t="shared" si="2"/>
        <v>24</v>
      </c>
      <c r="I47" s="8">
        <v>1</v>
      </c>
      <c r="J47" s="8">
        <v>33</v>
      </c>
      <c r="K47" s="8" t="s">
        <v>30</v>
      </c>
      <c r="L47" s="8" t="s">
        <v>78</v>
      </c>
      <c r="M47" s="8" t="s">
        <v>4</v>
      </c>
      <c r="N47" s="8" t="s">
        <v>92</v>
      </c>
      <c r="O47" s="46" t="s">
        <v>84</v>
      </c>
      <c r="P47" s="81">
        <f>28</f>
        <v>28</v>
      </c>
      <c r="Q47" s="8">
        <v>3</v>
      </c>
      <c r="R47" s="8">
        <v>0</v>
      </c>
      <c r="S47" s="8">
        <v>1</v>
      </c>
      <c r="T47" s="5" t="s">
        <v>84</v>
      </c>
      <c r="U47" s="5" t="s">
        <v>95</v>
      </c>
      <c r="V47" s="5" t="s">
        <v>77</v>
      </c>
      <c r="W47" s="5" t="s">
        <v>559</v>
      </c>
      <c r="X47" s="5" t="s">
        <v>82</v>
      </c>
      <c r="Y47" s="5" t="s">
        <v>373</v>
      </c>
      <c r="Z47" s="8" t="s">
        <v>39</v>
      </c>
      <c r="AA47" s="12">
        <v>45477</v>
      </c>
      <c r="AB47" s="80">
        <v>35</v>
      </c>
      <c r="AC47" s="5" t="s">
        <v>4</v>
      </c>
      <c r="AD47" s="27" t="s">
        <v>571</v>
      </c>
      <c r="AE47" s="15">
        <f t="shared" si="3"/>
        <v>50</v>
      </c>
      <c r="AF47" s="5">
        <v>1</v>
      </c>
      <c r="AG47" s="5" t="s">
        <v>4</v>
      </c>
      <c r="AH47" s="5" t="s">
        <v>84</v>
      </c>
      <c r="AI47" s="5" t="s">
        <v>455</v>
      </c>
      <c r="AJ47" s="5" t="s">
        <v>82</v>
      </c>
      <c r="AK47" s="5" t="s">
        <v>423</v>
      </c>
      <c r="AL47" s="5" t="s">
        <v>207</v>
      </c>
      <c r="AM47" s="83">
        <f>37+1/7</f>
        <v>37.142857142857146</v>
      </c>
      <c r="AN47" s="6" t="s">
        <v>4</v>
      </c>
    </row>
    <row r="48" spans="1:40" ht="30" x14ac:dyDescent="0.25">
      <c r="A48" s="57">
        <v>518267</v>
      </c>
      <c r="B48" s="58" t="s">
        <v>23</v>
      </c>
      <c r="C48" s="8" t="s">
        <v>39</v>
      </c>
      <c r="D48" s="84">
        <v>45245</v>
      </c>
      <c r="E48" s="84">
        <v>45428</v>
      </c>
      <c r="F48" s="8" t="s">
        <v>77</v>
      </c>
      <c r="G48" s="84">
        <v>31506</v>
      </c>
      <c r="H48" s="21">
        <f t="shared" si="2"/>
        <v>37</v>
      </c>
      <c r="I48" s="8">
        <v>1</v>
      </c>
      <c r="J48" s="8">
        <v>30</v>
      </c>
      <c r="K48" s="8" t="s">
        <v>30</v>
      </c>
      <c r="L48" s="8" t="s">
        <v>78</v>
      </c>
      <c r="M48" s="8"/>
      <c r="N48" s="8"/>
      <c r="O48" s="8" t="s">
        <v>484</v>
      </c>
      <c r="P48" s="81">
        <f>28+1/7</f>
        <v>28.142857142857142</v>
      </c>
      <c r="Q48" s="8">
        <v>3</v>
      </c>
      <c r="R48" s="8">
        <v>0</v>
      </c>
      <c r="S48" s="8">
        <v>1</v>
      </c>
      <c r="T48" s="5" t="s">
        <v>84</v>
      </c>
      <c r="U48" s="5" t="s">
        <v>95</v>
      </c>
      <c r="V48" s="5" t="s">
        <v>208</v>
      </c>
      <c r="W48" s="13" t="s">
        <v>558</v>
      </c>
      <c r="X48" s="5" t="s">
        <v>82</v>
      </c>
      <c r="Y48" s="5" t="s">
        <v>373</v>
      </c>
      <c r="Z48" s="8" t="s">
        <v>39</v>
      </c>
      <c r="AA48" s="12">
        <v>45484</v>
      </c>
      <c r="AB48" s="80">
        <f>36+1/7</f>
        <v>36.142857142857146</v>
      </c>
      <c r="AC48" s="5" t="s">
        <v>4</v>
      </c>
      <c r="AD48" s="27" t="s">
        <v>282</v>
      </c>
      <c r="AE48" s="15">
        <f t="shared" si="3"/>
        <v>56</v>
      </c>
      <c r="AF48" s="5">
        <v>1</v>
      </c>
      <c r="AG48" s="5" t="s">
        <v>127</v>
      </c>
      <c r="AH48" s="5" t="s">
        <v>84</v>
      </c>
      <c r="AI48" s="13" t="s">
        <v>173</v>
      </c>
      <c r="AJ48" s="5" t="s">
        <v>82</v>
      </c>
      <c r="AK48" s="5" t="s">
        <v>485</v>
      </c>
      <c r="AL48" s="6" t="s">
        <v>4</v>
      </c>
      <c r="AM48" s="83">
        <f>36+1/7</f>
        <v>36.142857142857146</v>
      </c>
      <c r="AN48" s="6" t="s">
        <v>4</v>
      </c>
    </row>
    <row r="49" spans="1:40" x14ac:dyDescent="0.25">
      <c r="A49" s="57">
        <v>437843</v>
      </c>
      <c r="B49" s="58" t="s">
        <v>23</v>
      </c>
      <c r="C49" s="46" t="s">
        <v>39</v>
      </c>
      <c r="D49" s="84">
        <v>45152</v>
      </c>
      <c r="E49" s="84">
        <v>45336</v>
      </c>
      <c r="F49" s="8" t="s">
        <v>77</v>
      </c>
      <c r="G49" s="84">
        <v>34197</v>
      </c>
      <c r="H49" s="21">
        <f t="shared" si="2"/>
        <v>29</v>
      </c>
      <c r="I49" s="8">
        <v>3</v>
      </c>
      <c r="J49" s="8">
        <v>40</v>
      </c>
      <c r="K49" s="8" t="s">
        <v>30</v>
      </c>
      <c r="L49" s="8" t="s">
        <v>78</v>
      </c>
      <c r="M49" s="8" t="s">
        <v>4</v>
      </c>
      <c r="N49" s="8" t="s">
        <v>181</v>
      </c>
      <c r="O49" s="8"/>
      <c r="P49" s="81">
        <f>28+1/7</f>
        <v>28.142857142857142</v>
      </c>
      <c r="Q49" s="8">
        <v>3</v>
      </c>
      <c r="R49" s="8">
        <v>0</v>
      </c>
      <c r="S49" s="8">
        <v>1</v>
      </c>
      <c r="T49" s="5" t="s">
        <v>80</v>
      </c>
      <c r="U49" s="5" t="s">
        <v>95</v>
      </c>
      <c r="V49" s="5" t="s">
        <v>78</v>
      </c>
      <c r="W49" s="5" t="s">
        <v>559</v>
      </c>
      <c r="X49" s="5" t="s">
        <v>82</v>
      </c>
      <c r="Y49" s="5" t="s">
        <v>373</v>
      </c>
      <c r="Z49" s="8" t="s">
        <v>39</v>
      </c>
      <c r="AA49" s="12">
        <v>45406</v>
      </c>
      <c r="AB49" s="80">
        <f>38+1/7</f>
        <v>38.142857142857146</v>
      </c>
      <c r="AC49" s="5"/>
      <c r="AD49" s="5" t="s">
        <v>134</v>
      </c>
      <c r="AE49" s="15">
        <f t="shared" si="3"/>
        <v>70</v>
      </c>
      <c r="AF49" s="5">
        <v>0</v>
      </c>
      <c r="AG49" s="5"/>
      <c r="AH49" s="5" t="s">
        <v>71</v>
      </c>
      <c r="AI49" s="5" t="s">
        <v>107</v>
      </c>
      <c r="AJ49" s="5" t="s">
        <v>82</v>
      </c>
      <c r="AK49" s="5" t="s">
        <v>373</v>
      </c>
      <c r="AL49" s="5" t="s">
        <v>134</v>
      </c>
      <c r="AM49" s="80">
        <f>38+1/7</f>
        <v>38.142857142857146</v>
      </c>
      <c r="AN49" s="5"/>
    </row>
    <row r="50" spans="1:40" ht="30" x14ac:dyDescent="0.25">
      <c r="A50" s="57">
        <v>520317</v>
      </c>
      <c r="B50" s="58" t="s">
        <v>23</v>
      </c>
      <c r="C50" s="8" t="s">
        <v>39</v>
      </c>
      <c r="D50" s="84">
        <v>45319</v>
      </c>
      <c r="E50" s="84">
        <v>45502</v>
      </c>
      <c r="F50" s="8" t="s">
        <v>77</v>
      </c>
      <c r="G50" s="84">
        <v>29953</v>
      </c>
      <c r="H50" s="21">
        <f t="shared" si="2"/>
        <v>42</v>
      </c>
      <c r="I50" s="8">
        <v>2</v>
      </c>
      <c r="J50" s="8">
        <v>59</v>
      </c>
      <c r="K50" s="8" t="s">
        <v>30</v>
      </c>
      <c r="L50" s="8" t="s">
        <v>78</v>
      </c>
      <c r="M50" s="8"/>
      <c r="N50" s="8" t="s">
        <v>181</v>
      </c>
      <c r="O50" s="8"/>
      <c r="P50" s="81">
        <f>28+1/7</f>
        <v>28.142857142857142</v>
      </c>
      <c r="Q50" s="8">
        <v>3</v>
      </c>
      <c r="R50" s="8">
        <v>0</v>
      </c>
      <c r="S50" s="8">
        <v>1</v>
      </c>
      <c r="T50" s="5" t="s">
        <v>80</v>
      </c>
      <c r="U50" s="5" t="s">
        <v>95</v>
      </c>
      <c r="V50" s="5" t="s">
        <v>78</v>
      </c>
      <c r="W50" s="13" t="s">
        <v>558</v>
      </c>
      <c r="X50" s="5" t="s">
        <v>82</v>
      </c>
      <c r="Y50" s="5" t="s">
        <v>373</v>
      </c>
      <c r="Z50" s="8" t="s">
        <v>39</v>
      </c>
      <c r="AA50" s="12">
        <v>45577</v>
      </c>
      <c r="AB50" s="80">
        <f>38+6/7</f>
        <v>38.857142857142854</v>
      </c>
      <c r="AC50" s="5"/>
      <c r="AD50" s="5" t="s">
        <v>207</v>
      </c>
      <c r="AE50" s="15">
        <f t="shared" si="3"/>
        <v>75</v>
      </c>
      <c r="AF50" s="5">
        <v>1</v>
      </c>
      <c r="AG50" s="13" t="s">
        <v>415</v>
      </c>
      <c r="AH50" s="5" t="s">
        <v>80</v>
      </c>
      <c r="AI50" s="13" t="s">
        <v>487</v>
      </c>
      <c r="AJ50" s="5" t="s">
        <v>486</v>
      </c>
      <c r="AK50" s="5" t="s">
        <v>373</v>
      </c>
      <c r="AL50" s="6" t="s">
        <v>207</v>
      </c>
      <c r="AM50" s="80">
        <v>39</v>
      </c>
      <c r="AN50" s="13" t="s">
        <v>488</v>
      </c>
    </row>
    <row r="51" spans="1:40" ht="90" x14ac:dyDescent="0.25">
      <c r="A51" s="57">
        <v>511597</v>
      </c>
      <c r="B51" s="58" t="s">
        <v>23</v>
      </c>
      <c r="C51" s="8" t="s">
        <v>39</v>
      </c>
      <c r="D51" s="84">
        <v>45085</v>
      </c>
      <c r="E51" s="84">
        <v>45272</v>
      </c>
      <c r="F51" s="8" t="s">
        <v>77</v>
      </c>
      <c r="G51" s="84">
        <v>31284</v>
      </c>
      <c r="H51" s="21">
        <f t="shared" si="2"/>
        <v>37</v>
      </c>
      <c r="I51" s="8">
        <v>4</v>
      </c>
      <c r="J51" s="8">
        <v>40</v>
      </c>
      <c r="K51" s="8" t="s">
        <v>30</v>
      </c>
      <c r="L51" s="8" t="s">
        <v>78</v>
      </c>
      <c r="M51" s="8" t="s">
        <v>545</v>
      </c>
      <c r="N51" s="8" t="s">
        <v>92</v>
      </c>
      <c r="O51" s="8"/>
      <c r="P51" s="81">
        <f>28+5/7</f>
        <v>28.714285714285715</v>
      </c>
      <c r="Q51" s="8">
        <v>3</v>
      </c>
      <c r="R51" s="8">
        <v>0</v>
      </c>
      <c r="S51" s="8">
        <v>1</v>
      </c>
      <c r="T51" s="5" t="s">
        <v>80</v>
      </c>
      <c r="U51" s="5" t="s">
        <v>95</v>
      </c>
      <c r="V51" s="5" t="s">
        <v>78</v>
      </c>
      <c r="W51" s="5" t="s">
        <v>559</v>
      </c>
      <c r="X51" s="5" t="s">
        <v>82</v>
      </c>
      <c r="Y51" s="5" t="s">
        <v>373</v>
      </c>
      <c r="Z51" s="8" t="s">
        <v>39</v>
      </c>
      <c r="AA51" s="12">
        <v>45323</v>
      </c>
      <c r="AB51" s="80">
        <v>36</v>
      </c>
      <c r="AC51" s="5"/>
      <c r="AD51" s="6" t="s">
        <v>208</v>
      </c>
      <c r="AE51" s="15">
        <f t="shared" si="3"/>
        <v>51</v>
      </c>
      <c r="AF51" s="6">
        <v>2</v>
      </c>
      <c r="AG51" s="13" t="s">
        <v>508</v>
      </c>
      <c r="AH51" s="5" t="s">
        <v>84</v>
      </c>
      <c r="AI51" s="13" t="s">
        <v>451</v>
      </c>
      <c r="AJ51" s="5" t="s">
        <v>82</v>
      </c>
      <c r="AK51" s="5" t="s">
        <v>373</v>
      </c>
      <c r="AL51" s="6" t="s">
        <v>208</v>
      </c>
      <c r="AM51" s="83">
        <v>36</v>
      </c>
      <c r="AN51" s="6" t="s">
        <v>208</v>
      </c>
    </row>
    <row r="52" spans="1:40" ht="45" x14ac:dyDescent="0.25">
      <c r="A52" s="57">
        <v>513820</v>
      </c>
      <c r="B52" s="58" t="s">
        <v>8</v>
      </c>
      <c r="C52" s="8" t="s">
        <v>39</v>
      </c>
      <c r="D52" s="84">
        <v>45109</v>
      </c>
      <c r="E52" s="84">
        <v>45306</v>
      </c>
      <c r="F52" s="8" t="s">
        <v>77</v>
      </c>
      <c r="G52" s="84">
        <v>33965</v>
      </c>
      <c r="H52" s="21">
        <f t="shared" si="2"/>
        <v>30</v>
      </c>
      <c r="I52" s="8">
        <v>3</v>
      </c>
      <c r="J52" s="8">
        <v>24</v>
      </c>
      <c r="K52" s="8" t="s">
        <v>30</v>
      </c>
      <c r="L52" s="8" t="s">
        <v>78</v>
      </c>
      <c r="M52" s="8" t="s">
        <v>84</v>
      </c>
      <c r="N52" s="8"/>
      <c r="O52" s="8"/>
      <c r="P52" s="81">
        <f>30+1/7</f>
        <v>30.142857142857142</v>
      </c>
      <c r="Q52" s="8">
        <v>3</v>
      </c>
      <c r="R52" s="8">
        <v>0</v>
      </c>
      <c r="S52" s="8">
        <v>1</v>
      </c>
      <c r="T52" s="5" t="s">
        <v>80</v>
      </c>
      <c r="U52" s="5" t="s">
        <v>95</v>
      </c>
      <c r="V52" s="5" t="s">
        <v>78</v>
      </c>
      <c r="W52" s="5" t="s">
        <v>559</v>
      </c>
      <c r="X52" s="5" t="s">
        <v>376</v>
      </c>
      <c r="Y52" s="5" t="s">
        <v>373</v>
      </c>
      <c r="Z52" s="8" t="s">
        <v>39</v>
      </c>
      <c r="AA52" s="12">
        <v>45374</v>
      </c>
      <c r="AB52" s="80">
        <f>39+6/7</f>
        <v>39.857142857142854</v>
      </c>
      <c r="AC52" s="5"/>
      <c r="AD52" s="5" t="s">
        <v>134</v>
      </c>
      <c r="AE52" s="15">
        <f t="shared" si="3"/>
        <v>68</v>
      </c>
      <c r="AF52" s="5">
        <v>0</v>
      </c>
      <c r="AG52" s="5"/>
      <c r="AH52" s="5" t="s">
        <v>80</v>
      </c>
      <c r="AI52" s="5" t="s">
        <v>107</v>
      </c>
      <c r="AJ52" s="13" t="s">
        <v>379</v>
      </c>
      <c r="AK52" s="5" t="s">
        <v>373</v>
      </c>
      <c r="AL52" s="5" t="s">
        <v>134</v>
      </c>
      <c r="AM52" s="80">
        <f>39+6/7</f>
        <v>39.857142857142854</v>
      </c>
      <c r="AN52" s="5"/>
    </row>
    <row r="53" spans="1:40" ht="30" x14ac:dyDescent="0.25">
      <c r="A53" s="59">
        <v>512723</v>
      </c>
      <c r="B53" s="59" t="s">
        <v>3</v>
      </c>
      <c r="C53" s="8" t="s">
        <v>5</v>
      </c>
      <c r="D53" s="84">
        <v>45080</v>
      </c>
      <c r="E53" s="84">
        <v>45278</v>
      </c>
      <c r="F53" s="8" t="s">
        <v>77</v>
      </c>
      <c r="G53" s="84">
        <v>31204</v>
      </c>
      <c r="H53" s="21">
        <f t="shared" si="2"/>
        <v>37</v>
      </c>
      <c r="I53" s="8">
        <v>0</v>
      </c>
      <c r="J53" s="8">
        <v>25</v>
      </c>
      <c r="K53" s="8" t="s">
        <v>30</v>
      </c>
      <c r="L53" s="8" t="s">
        <v>78</v>
      </c>
      <c r="M53" s="46"/>
      <c r="N53" s="8" t="s">
        <v>536</v>
      </c>
      <c r="O53" s="8"/>
      <c r="P53" s="81">
        <f>30+2/7</f>
        <v>30.285714285714285</v>
      </c>
      <c r="Q53" s="8">
        <v>3</v>
      </c>
      <c r="R53" s="8">
        <v>0</v>
      </c>
      <c r="S53" s="8" t="s">
        <v>98</v>
      </c>
      <c r="T53" s="6" t="s">
        <v>80</v>
      </c>
      <c r="U53" s="6" t="s">
        <v>95</v>
      </c>
      <c r="V53" s="5" t="s">
        <v>78</v>
      </c>
      <c r="W53" s="13" t="s">
        <v>558</v>
      </c>
      <c r="X53" s="6" t="s">
        <v>82</v>
      </c>
      <c r="Y53" s="5" t="s">
        <v>373</v>
      </c>
      <c r="Z53" s="8" t="s">
        <v>39</v>
      </c>
      <c r="AA53" s="12">
        <v>45334</v>
      </c>
      <c r="AB53" s="80">
        <f>37+6/7</f>
        <v>37.857142857142854</v>
      </c>
      <c r="AC53" s="5"/>
      <c r="AD53" s="5" t="s">
        <v>207</v>
      </c>
      <c r="AE53" s="15">
        <f t="shared" si="3"/>
        <v>56</v>
      </c>
      <c r="AF53" s="15">
        <v>0</v>
      </c>
      <c r="AG53" s="5"/>
      <c r="AH53" s="6" t="s">
        <v>80</v>
      </c>
      <c r="AI53" s="13" t="s">
        <v>130</v>
      </c>
      <c r="AJ53" s="6" t="s">
        <v>82</v>
      </c>
      <c r="AK53" s="6" t="s">
        <v>83</v>
      </c>
      <c r="AL53" s="6" t="s">
        <v>207</v>
      </c>
      <c r="AM53" s="80">
        <v>38</v>
      </c>
      <c r="AN53" s="5" t="s">
        <v>269</v>
      </c>
    </row>
    <row r="54" spans="1:40" ht="30" x14ac:dyDescent="0.25">
      <c r="A54" s="61">
        <v>515293</v>
      </c>
      <c r="B54" s="6" t="s">
        <v>7</v>
      </c>
      <c r="C54" s="46" t="s">
        <v>5</v>
      </c>
      <c r="D54" s="84">
        <v>45177</v>
      </c>
      <c r="E54" s="84">
        <v>45377</v>
      </c>
      <c r="F54" s="8" t="s">
        <v>77</v>
      </c>
      <c r="G54" s="84">
        <v>30038</v>
      </c>
      <c r="H54" s="21">
        <f t="shared" si="2"/>
        <v>41</v>
      </c>
      <c r="I54" s="8">
        <v>1</v>
      </c>
      <c r="J54" s="8">
        <v>25</v>
      </c>
      <c r="K54" s="8" t="s">
        <v>135</v>
      </c>
      <c r="L54" s="8" t="s">
        <v>176</v>
      </c>
      <c r="M54" s="46"/>
      <c r="N54" s="46" t="s">
        <v>181</v>
      </c>
      <c r="O54" s="46" t="s">
        <v>305</v>
      </c>
      <c r="P54" s="81">
        <f>30+4/7</f>
        <v>30.571428571428573</v>
      </c>
      <c r="Q54" s="8">
        <v>3</v>
      </c>
      <c r="R54" s="8">
        <v>1</v>
      </c>
      <c r="S54" s="8" t="s">
        <v>98</v>
      </c>
      <c r="T54" s="5" t="s">
        <v>84</v>
      </c>
      <c r="U54" s="5" t="s">
        <v>165</v>
      </c>
      <c r="V54" s="5" t="s">
        <v>77</v>
      </c>
      <c r="W54" s="13" t="s">
        <v>558</v>
      </c>
      <c r="X54" s="5" t="s">
        <v>82</v>
      </c>
      <c r="Y54" s="5" t="s">
        <v>373</v>
      </c>
      <c r="Z54" s="46" t="s">
        <v>5</v>
      </c>
      <c r="AA54" s="12">
        <v>45395</v>
      </c>
      <c r="AB54" s="80">
        <f>32+5/7</f>
        <v>32.714285714285715</v>
      </c>
      <c r="AC54" s="5"/>
      <c r="AD54" s="5" t="s">
        <v>563</v>
      </c>
      <c r="AE54" s="15">
        <f t="shared" si="3"/>
        <v>18</v>
      </c>
      <c r="AF54" s="15">
        <v>1</v>
      </c>
      <c r="AG54" s="13" t="s">
        <v>307</v>
      </c>
      <c r="AH54" s="5" t="s">
        <v>84</v>
      </c>
      <c r="AI54" s="13" t="s">
        <v>173</v>
      </c>
      <c r="AJ54" s="5" t="s">
        <v>82</v>
      </c>
      <c r="AK54" s="5" t="s">
        <v>83</v>
      </c>
      <c r="AL54" s="6" t="s">
        <v>260</v>
      </c>
      <c r="AM54" s="83">
        <f>32+5/7</f>
        <v>32.714285714285715</v>
      </c>
      <c r="AN54" s="6" t="s">
        <v>260</v>
      </c>
    </row>
    <row r="55" spans="1:40" ht="30" x14ac:dyDescent="0.25">
      <c r="A55" s="59">
        <v>520352</v>
      </c>
      <c r="B55" s="59" t="s">
        <v>3</v>
      </c>
      <c r="C55" s="86" t="s">
        <v>6</v>
      </c>
      <c r="D55" s="87">
        <v>45224</v>
      </c>
      <c r="E55" s="87">
        <v>45427</v>
      </c>
      <c r="F55" s="86" t="s">
        <v>77</v>
      </c>
      <c r="G55" s="87">
        <v>30988</v>
      </c>
      <c r="H55" s="88">
        <f t="shared" si="2"/>
        <v>38</v>
      </c>
      <c r="I55" s="86">
        <v>1</v>
      </c>
      <c r="J55" s="86">
        <v>25</v>
      </c>
      <c r="K55" s="86" t="s">
        <v>135</v>
      </c>
      <c r="L55" s="86" t="s">
        <v>78</v>
      </c>
      <c r="M55" s="86" t="s">
        <v>4</v>
      </c>
      <c r="N55" s="86"/>
      <c r="O55" s="86"/>
      <c r="P55" s="89">
        <v>31</v>
      </c>
      <c r="Q55" s="86">
        <v>3</v>
      </c>
      <c r="R55" s="86">
        <v>0</v>
      </c>
      <c r="S55" s="86" t="s">
        <v>98</v>
      </c>
      <c r="T55" s="6" t="s">
        <v>80</v>
      </c>
      <c r="U55" s="6" t="s">
        <v>95</v>
      </c>
      <c r="V55" s="5" t="s">
        <v>77</v>
      </c>
      <c r="W55" s="13" t="s">
        <v>558</v>
      </c>
      <c r="X55" s="26" t="s">
        <v>82</v>
      </c>
      <c r="Y55" s="5" t="s">
        <v>373</v>
      </c>
      <c r="Z55" s="8" t="s">
        <v>39</v>
      </c>
      <c r="AA55" s="12">
        <v>45479</v>
      </c>
      <c r="AB55" s="80">
        <f>38+3/7</f>
        <v>38.428571428571431</v>
      </c>
      <c r="AC55" s="5"/>
      <c r="AD55" s="5" t="s">
        <v>207</v>
      </c>
      <c r="AE55" s="15">
        <f t="shared" si="3"/>
        <v>52</v>
      </c>
      <c r="AF55" s="15">
        <v>0</v>
      </c>
      <c r="AG55" s="5"/>
      <c r="AH55" s="6" t="s">
        <v>80</v>
      </c>
      <c r="AI55" s="13" t="s">
        <v>163</v>
      </c>
      <c r="AJ55" s="6" t="s">
        <v>82</v>
      </c>
      <c r="AK55" s="6" t="s">
        <v>83</v>
      </c>
      <c r="AL55" s="5" t="s">
        <v>207</v>
      </c>
      <c r="AM55" s="80">
        <f>39/7</f>
        <v>5.5714285714285712</v>
      </c>
      <c r="AN55" s="5" t="s">
        <v>266</v>
      </c>
    </row>
    <row r="56" spans="1:40" ht="75" x14ac:dyDescent="0.25">
      <c r="A56" s="62">
        <v>460992</v>
      </c>
      <c r="B56" s="58" t="s">
        <v>23</v>
      </c>
      <c r="C56" s="8" t="s">
        <v>39</v>
      </c>
      <c r="D56" s="84">
        <v>45208</v>
      </c>
      <c r="E56" s="84">
        <v>45412</v>
      </c>
      <c r="F56" s="8" t="s">
        <v>77</v>
      </c>
      <c r="G56" s="84">
        <v>30997</v>
      </c>
      <c r="H56" s="21">
        <f t="shared" si="2"/>
        <v>38</v>
      </c>
      <c r="I56" s="8">
        <v>1</v>
      </c>
      <c r="J56" s="8">
        <v>39</v>
      </c>
      <c r="K56" s="8" t="s">
        <v>30</v>
      </c>
      <c r="L56" s="8" t="s">
        <v>78</v>
      </c>
      <c r="M56" s="8" t="s">
        <v>4</v>
      </c>
      <c r="N56" s="8" t="s">
        <v>92</v>
      </c>
      <c r="O56" s="8"/>
      <c r="P56" s="81">
        <f>31+5/7</f>
        <v>31.714285714285715</v>
      </c>
      <c r="Q56" s="8">
        <v>3</v>
      </c>
      <c r="R56" s="8">
        <v>0</v>
      </c>
      <c r="S56" s="8" t="s">
        <v>98</v>
      </c>
      <c r="T56" s="5" t="s">
        <v>80</v>
      </c>
      <c r="U56" s="5" t="s">
        <v>95</v>
      </c>
      <c r="V56" s="5" t="s">
        <v>78</v>
      </c>
      <c r="W56" s="5" t="s">
        <v>559</v>
      </c>
      <c r="X56" s="5" t="s">
        <v>82</v>
      </c>
      <c r="Y56" s="5" t="s">
        <v>373</v>
      </c>
      <c r="Z56" s="8" t="s">
        <v>39</v>
      </c>
      <c r="AA56" s="12">
        <v>45457</v>
      </c>
      <c r="AB56" s="80">
        <f>37+2/7</f>
        <v>37.285714285714285</v>
      </c>
      <c r="AC56" s="5"/>
      <c r="AD56" s="5" t="s">
        <v>134</v>
      </c>
      <c r="AE56" s="15">
        <f t="shared" si="3"/>
        <v>45</v>
      </c>
      <c r="AF56" s="5">
        <v>2</v>
      </c>
      <c r="AG56" s="13" t="s">
        <v>398</v>
      </c>
      <c r="AH56" s="5" t="s">
        <v>80</v>
      </c>
      <c r="AI56" s="13" t="s">
        <v>130</v>
      </c>
      <c r="AJ56" s="5" t="s">
        <v>82</v>
      </c>
      <c r="AK56" s="5" t="s">
        <v>373</v>
      </c>
      <c r="AL56" s="5" t="s">
        <v>134</v>
      </c>
      <c r="AM56" s="101">
        <f>37+2/7</f>
        <v>37.285714285714285</v>
      </c>
      <c r="AN56" s="94"/>
    </row>
    <row r="57" spans="1:40" x14ac:dyDescent="0.25">
      <c r="A57" s="59">
        <v>525068</v>
      </c>
      <c r="B57" s="59" t="s">
        <v>3</v>
      </c>
      <c r="C57" s="86" t="s">
        <v>6</v>
      </c>
      <c r="D57" s="87">
        <v>45334</v>
      </c>
      <c r="E57" s="87">
        <v>45545</v>
      </c>
      <c r="F57" s="86" t="s">
        <v>77</v>
      </c>
      <c r="G57" s="87">
        <v>32922</v>
      </c>
      <c r="H57" s="88">
        <f t="shared" si="2"/>
        <v>33</v>
      </c>
      <c r="I57" s="86">
        <v>1</v>
      </c>
      <c r="J57" s="86">
        <v>35</v>
      </c>
      <c r="K57" s="86" t="s">
        <v>30</v>
      </c>
      <c r="L57" s="86" t="s">
        <v>78</v>
      </c>
      <c r="M57" s="86" t="s">
        <v>182</v>
      </c>
      <c r="N57" s="86" t="s">
        <v>181</v>
      </c>
      <c r="O57" s="86"/>
      <c r="P57" s="89">
        <f>32+1/7</f>
        <v>32.142857142857146</v>
      </c>
      <c r="Q57" s="86">
        <v>3</v>
      </c>
      <c r="R57" s="86">
        <v>0</v>
      </c>
      <c r="S57" s="86" t="s">
        <v>100</v>
      </c>
      <c r="T57" s="6" t="s">
        <v>80</v>
      </c>
      <c r="U57" s="6" t="s">
        <v>95</v>
      </c>
      <c r="V57" s="5" t="s">
        <v>78</v>
      </c>
      <c r="W57" s="5" t="s">
        <v>559</v>
      </c>
      <c r="X57" s="6" t="s">
        <v>82</v>
      </c>
      <c r="Y57" s="5" t="s">
        <v>373</v>
      </c>
      <c r="Z57" s="8" t="s">
        <v>5</v>
      </c>
      <c r="AA57" s="12">
        <v>45586</v>
      </c>
      <c r="AB57" s="80">
        <v>38</v>
      </c>
      <c r="AC57" s="5"/>
      <c r="AD57" s="5" t="s">
        <v>207</v>
      </c>
      <c r="AE57" s="15">
        <f t="shared" si="3"/>
        <v>41</v>
      </c>
      <c r="AF57" s="15">
        <v>0</v>
      </c>
      <c r="AG57" s="5"/>
      <c r="AH57" s="6" t="s">
        <v>80</v>
      </c>
      <c r="AI57" s="5" t="s">
        <v>94</v>
      </c>
      <c r="AJ57" s="6" t="s">
        <v>82</v>
      </c>
      <c r="AK57" s="6" t="s">
        <v>83</v>
      </c>
      <c r="AL57" s="5" t="s">
        <v>207</v>
      </c>
      <c r="AM57" s="80">
        <f>38+3/7</f>
        <v>38.428571428571431</v>
      </c>
      <c r="AN57" s="5" t="s">
        <v>582</v>
      </c>
    </row>
    <row r="58" spans="1:40" ht="30" x14ac:dyDescent="0.25">
      <c r="A58" s="59">
        <v>519933</v>
      </c>
      <c r="B58" s="59" t="s">
        <v>3</v>
      </c>
      <c r="C58" s="8" t="s">
        <v>39</v>
      </c>
      <c r="D58" s="84">
        <v>45207</v>
      </c>
      <c r="E58" s="84">
        <v>45418</v>
      </c>
      <c r="F58" s="8" t="s">
        <v>77</v>
      </c>
      <c r="G58" s="84">
        <v>31131</v>
      </c>
      <c r="H58" s="21">
        <f t="shared" si="2"/>
        <v>38</v>
      </c>
      <c r="I58" s="8">
        <v>3</v>
      </c>
      <c r="J58" s="8">
        <v>26</v>
      </c>
      <c r="K58" s="8" t="s">
        <v>30</v>
      </c>
      <c r="L58" s="8" t="s">
        <v>78</v>
      </c>
      <c r="M58" s="8"/>
      <c r="N58" s="8"/>
      <c r="O58" s="8"/>
      <c r="P58" s="81">
        <f>32+1/7</f>
        <v>32.142857142857146</v>
      </c>
      <c r="Q58" s="8">
        <v>3</v>
      </c>
      <c r="R58" s="8">
        <v>0</v>
      </c>
      <c r="S58" s="8" t="s">
        <v>100</v>
      </c>
      <c r="T58" s="5" t="s">
        <v>80</v>
      </c>
      <c r="U58" s="5" t="s">
        <v>95</v>
      </c>
      <c r="V58" s="5" t="s">
        <v>78</v>
      </c>
      <c r="W58" s="13" t="s">
        <v>558</v>
      </c>
      <c r="X58" s="5" t="s">
        <v>82</v>
      </c>
      <c r="Y58" s="5" t="s">
        <v>373</v>
      </c>
      <c r="Z58" s="8" t="s">
        <v>39</v>
      </c>
      <c r="AA58" s="12">
        <v>45446</v>
      </c>
      <c r="AB58" s="80">
        <f>36+1/7</f>
        <v>36.142857142857146</v>
      </c>
      <c r="AC58" s="5" t="s">
        <v>99</v>
      </c>
      <c r="AD58" s="27" t="s">
        <v>576</v>
      </c>
      <c r="AE58" s="15">
        <f t="shared" si="3"/>
        <v>28</v>
      </c>
      <c r="AF58" s="15">
        <v>0</v>
      </c>
      <c r="AG58" s="5"/>
      <c r="AH58" s="5" t="s">
        <v>80</v>
      </c>
      <c r="AI58" s="13" t="s">
        <v>88</v>
      </c>
      <c r="AJ58" s="5" t="s">
        <v>82</v>
      </c>
      <c r="AK58" s="5" t="s">
        <v>83</v>
      </c>
      <c r="AL58" s="157" t="s">
        <v>343</v>
      </c>
      <c r="AM58" s="158">
        <f>36+3/7</f>
        <v>36.428571428571431</v>
      </c>
      <c r="AN58" s="157" t="s">
        <v>496</v>
      </c>
    </row>
    <row r="59" spans="1:40" x14ac:dyDescent="0.25">
      <c r="A59" s="57">
        <v>452629</v>
      </c>
      <c r="B59" s="58" t="s">
        <v>23</v>
      </c>
      <c r="C59" s="8" t="s">
        <v>39</v>
      </c>
      <c r="D59" s="84">
        <v>45048</v>
      </c>
      <c r="E59" s="84">
        <v>45260</v>
      </c>
      <c r="F59" s="8" t="s">
        <v>77</v>
      </c>
      <c r="G59" s="84">
        <v>30032</v>
      </c>
      <c r="H59" s="21">
        <f t="shared" si="2"/>
        <v>41</v>
      </c>
      <c r="I59" s="8">
        <v>3</v>
      </c>
      <c r="J59" s="8">
        <v>32</v>
      </c>
      <c r="K59" s="8" t="s">
        <v>30</v>
      </c>
      <c r="L59" s="8" t="s">
        <v>78</v>
      </c>
      <c r="M59" s="8" t="s">
        <v>541</v>
      </c>
      <c r="N59" s="8" t="s">
        <v>92</v>
      </c>
      <c r="O59" s="8"/>
      <c r="P59" s="81">
        <f>32+2/7</f>
        <v>32.285714285714285</v>
      </c>
      <c r="Q59" s="8">
        <v>3</v>
      </c>
      <c r="R59" s="8">
        <v>0</v>
      </c>
      <c r="S59" s="8">
        <v>1</v>
      </c>
      <c r="T59" s="5" t="s">
        <v>80</v>
      </c>
      <c r="U59" s="5" t="s">
        <v>95</v>
      </c>
      <c r="V59" s="5" t="s">
        <v>78</v>
      </c>
      <c r="W59" s="5" t="s">
        <v>559</v>
      </c>
      <c r="X59" s="5" t="s">
        <v>82</v>
      </c>
      <c r="Y59" s="5" t="s">
        <v>373</v>
      </c>
      <c r="Z59" s="8" t="s">
        <v>39</v>
      </c>
      <c r="AA59" s="12">
        <v>45297</v>
      </c>
      <c r="AB59" s="80">
        <f>37+4/7</f>
        <v>37.571428571428569</v>
      </c>
      <c r="AC59" s="5"/>
      <c r="AD59" s="5" t="s">
        <v>207</v>
      </c>
      <c r="AE59" s="15">
        <f t="shared" si="3"/>
        <v>37</v>
      </c>
      <c r="AF59" s="5">
        <v>0</v>
      </c>
      <c r="AG59" s="5"/>
      <c r="AH59" s="5" t="s">
        <v>80</v>
      </c>
      <c r="AI59" s="5" t="s">
        <v>383</v>
      </c>
      <c r="AJ59" s="5" t="s">
        <v>459</v>
      </c>
      <c r="AK59" s="5" t="s">
        <v>373</v>
      </c>
      <c r="AL59" s="5" t="s">
        <v>207</v>
      </c>
      <c r="AM59" s="80">
        <v>38</v>
      </c>
      <c r="AN59" s="5" t="s">
        <v>460</v>
      </c>
    </row>
    <row r="60" spans="1:40" ht="60" x14ac:dyDescent="0.25">
      <c r="A60" s="57">
        <v>423266</v>
      </c>
      <c r="B60" s="58" t="s">
        <v>23</v>
      </c>
      <c r="C60" s="8" t="s">
        <v>39</v>
      </c>
      <c r="D60" s="84">
        <v>45166</v>
      </c>
      <c r="E60" s="84">
        <v>45382</v>
      </c>
      <c r="F60" s="8" t="s">
        <v>77</v>
      </c>
      <c r="G60" s="84">
        <v>31842</v>
      </c>
      <c r="H60" s="21">
        <f t="shared" si="2"/>
        <v>36</v>
      </c>
      <c r="I60" s="8">
        <v>4</v>
      </c>
      <c r="J60" s="8">
        <v>35</v>
      </c>
      <c r="K60" s="8" t="s">
        <v>30</v>
      </c>
      <c r="L60" s="8" t="s">
        <v>78</v>
      </c>
      <c r="M60" s="8" t="s">
        <v>544</v>
      </c>
      <c r="N60" s="8"/>
      <c r="O60" s="8"/>
      <c r="P60" s="81">
        <f>32+6/7</f>
        <v>32.857142857142854</v>
      </c>
      <c r="Q60" s="8">
        <v>3</v>
      </c>
      <c r="R60" s="8">
        <v>0</v>
      </c>
      <c r="S60" s="8">
        <v>1</v>
      </c>
      <c r="T60" s="5" t="s">
        <v>80</v>
      </c>
      <c r="U60" s="5" t="s">
        <v>95</v>
      </c>
      <c r="V60" s="5" t="s">
        <v>77</v>
      </c>
      <c r="W60" s="5" t="s">
        <v>559</v>
      </c>
      <c r="X60" s="5" t="s">
        <v>82</v>
      </c>
      <c r="Y60" s="5" t="s">
        <v>373</v>
      </c>
      <c r="Z60" s="46" t="s">
        <v>39</v>
      </c>
      <c r="AA60" s="12">
        <v>45383</v>
      </c>
      <c r="AB60" s="80">
        <v>33</v>
      </c>
      <c r="AC60" s="5"/>
      <c r="AD60" s="13" t="s">
        <v>575</v>
      </c>
      <c r="AE60" s="15">
        <f t="shared" si="3"/>
        <v>1</v>
      </c>
      <c r="AF60" s="5">
        <v>1</v>
      </c>
      <c r="AG60" s="13" t="s">
        <v>477</v>
      </c>
      <c r="AH60" s="5" t="s">
        <v>80</v>
      </c>
      <c r="AI60" s="5" t="s">
        <v>334</v>
      </c>
      <c r="AJ60" s="6" t="s">
        <v>479</v>
      </c>
      <c r="AK60" s="5" t="s">
        <v>373</v>
      </c>
      <c r="AL60" s="6" t="s">
        <v>581</v>
      </c>
      <c r="AM60" s="83">
        <f>34+1/7</f>
        <v>34.142857142857146</v>
      </c>
      <c r="AN60" s="6" t="s">
        <v>509</v>
      </c>
    </row>
    <row r="61" spans="1:40" ht="30" x14ac:dyDescent="0.25">
      <c r="A61" s="59">
        <v>514682</v>
      </c>
      <c r="B61" s="59" t="s">
        <v>3</v>
      </c>
      <c r="C61" s="8" t="s">
        <v>39</v>
      </c>
      <c r="D61" s="84">
        <v>45096</v>
      </c>
      <c r="E61" s="84">
        <v>45313</v>
      </c>
      <c r="F61" s="8" t="s">
        <v>77</v>
      </c>
      <c r="G61" s="84">
        <v>33985</v>
      </c>
      <c r="H61" s="21">
        <f t="shared" si="2"/>
        <v>30</v>
      </c>
      <c r="I61" s="8">
        <v>0</v>
      </c>
      <c r="J61" s="8">
        <v>25</v>
      </c>
      <c r="K61" s="8" t="s">
        <v>30</v>
      </c>
      <c r="L61" s="8" t="s">
        <v>78</v>
      </c>
      <c r="M61" s="8"/>
      <c r="N61" s="8" t="s">
        <v>92</v>
      </c>
      <c r="O61" s="8"/>
      <c r="P61" s="81">
        <f>33</f>
        <v>33</v>
      </c>
      <c r="Q61" s="8">
        <v>3</v>
      </c>
      <c r="R61" s="8">
        <v>0</v>
      </c>
      <c r="S61" s="8" t="s">
        <v>98</v>
      </c>
      <c r="T61" s="5" t="s">
        <v>80</v>
      </c>
      <c r="U61" s="5" t="s">
        <v>95</v>
      </c>
      <c r="V61" s="5" t="s">
        <v>78</v>
      </c>
      <c r="W61" s="5" t="s">
        <v>559</v>
      </c>
      <c r="X61" s="5" t="s">
        <v>82</v>
      </c>
      <c r="Y61" s="5" t="s">
        <v>373</v>
      </c>
      <c r="Z61" s="8" t="s">
        <v>39</v>
      </c>
      <c r="AA61" s="12">
        <v>45336</v>
      </c>
      <c r="AB61" s="80">
        <f>36+2/7</f>
        <v>36.285714285714285</v>
      </c>
      <c r="AC61" s="5" t="s">
        <v>4</v>
      </c>
      <c r="AD61" s="13" t="s">
        <v>578</v>
      </c>
      <c r="AE61" s="15">
        <f t="shared" si="3"/>
        <v>23</v>
      </c>
      <c r="AF61" s="15">
        <v>1</v>
      </c>
      <c r="AG61" s="5" t="s">
        <v>84</v>
      </c>
      <c r="AH61" s="27" t="s">
        <v>84</v>
      </c>
      <c r="AI61" s="6" t="s">
        <v>94</v>
      </c>
      <c r="AJ61" s="5" t="s">
        <v>82</v>
      </c>
      <c r="AK61" s="6" t="s">
        <v>96</v>
      </c>
      <c r="AL61" s="6" t="s">
        <v>493</v>
      </c>
      <c r="AM61" s="83">
        <f>36+2/7</f>
        <v>36.285714285714285</v>
      </c>
      <c r="AN61" s="6" t="s">
        <v>495</v>
      </c>
    </row>
    <row r="62" spans="1:40" ht="30" x14ac:dyDescent="0.25">
      <c r="A62" s="59">
        <v>522718</v>
      </c>
      <c r="B62" s="59" t="s">
        <v>3</v>
      </c>
      <c r="C62" s="8" t="s">
        <v>39</v>
      </c>
      <c r="D62" s="84">
        <v>45231</v>
      </c>
      <c r="E62" s="84">
        <v>45475</v>
      </c>
      <c r="F62" s="8" t="s">
        <v>77</v>
      </c>
      <c r="G62" s="84">
        <v>30401</v>
      </c>
      <c r="H62" s="21">
        <f t="shared" si="2"/>
        <v>40</v>
      </c>
      <c r="I62" s="8">
        <v>1</v>
      </c>
      <c r="J62" s="8">
        <v>26</v>
      </c>
      <c r="K62" s="8" t="s">
        <v>30</v>
      </c>
      <c r="L62" s="8" t="s">
        <v>78</v>
      </c>
      <c r="M62" s="46" t="s">
        <v>540</v>
      </c>
      <c r="N62" s="46"/>
      <c r="O62" s="8" t="s">
        <v>84</v>
      </c>
      <c r="P62" s="81">
        <f>36+6/7</f>
        <v>36.857142857142854</v>
      </c>
      <c r="Q62" s="8">
        <v>3</v>
      </c>
      <c r="R62" s="8">
        <v>0</v>
      </c>
      <c r="S62" s="8" t="s">
        <v>98</v>
      </c>
      <c r="T62" s="5" t="s">
        <v>84</v>
      </c>
      <c r="U62" s="5" t="s">
        <v>95</v>
      </c>
      <c r="V62" s="5" t="s">
        <v>78</v>
      </c>
      <c r="W62" s="5" t="s">
        <v>559</v>
      </c>
      <c r="X62" s="5" t="s">
        <v>82</v>
      </c>
      <c r="Y62" s="5" t="s">
        <v>373</v>
      </c>
      <c r="Z62" s="8" t="s">
        <v>39</v>
      </c>
      <c r="AA62" s="12">
        <v>45484</v>
      </c>
      <c r="AB62" s="80">
        <f>38+1/7</f>
        <v>38.142857142857146</v>
      </c>
      <c r="AC62" s="5" t="s">
        <v>84</v>
      </c>
      <c r="AD62" s="27" t="s">
        <v>282</v>
      </c>
      <c r="AE62" s="15">
        <f t="shared" si="3"/>
        <v>9</v>
      </c>
      <c r="AF62" s="15">
        <v>0</v>
      </c>
      <c r="AG62" s="27" t="s">
        <v>115</v>
      </c>
      <c r="AH62" s="27" t="s">
        <v>84</v>
      </c>
      <c r="AI62" s="5" t="s">
        <v>94</v>
      </c>
      <c r="AJ62" s="5" t="s">
        <v>82</v>
      </c>
      <c r="AK62" s="5" t="s">
        <v>83</v>
      </c>
      <c r="AL62" s="6" t="s">
        <v>84</v>
      </c>
      <c r="AM62" s="80">
        <f>38+1/7</f>
        <v>38.142857142857146</v>
      </c>
      <c r="AN62" s="5" t="s">
        <v>84</v>
      </c>
    </row>
    <row r="63" spans="1:40" ht="30" x14ac:dyDescent="0.25">
      <c r="A63" s="59">
        <v>526684</v>
      </c>
      <c r="B63" s="59" t="s">
        <v>3</v>
      </c>
      <c r="C63" s="8" t="s">
        <v>5</v>
      </c>
      <c r="D63" s="84">
        <v>45325</v>
      </c>
      <c r="E63" s="84">
        <v>45572</v>
      </c>
      <c r="F63" s="8" t="s">
        <v>77</v>
      </c>
      <c r="G63" s="84">
        <v>29860</v>
      </c>
      <c r="H63" s="21">
        <f t="shared" si="2"/>
        <v>42</v>
      </c>
      <c r="I63" s="8">
        <v>2</v>
      </c>
      <c r="J63" s="8">
        <v>32</v>
      </c>
      <c r="K63" s="8" t="s">
        <v>166</v>
      </c>
      <c r="L63" s="8" t="s">
        <v>78</v>
      </c>
      <c r="M63" s="8"/>
      <c r="N63" s="8" t="s">
        <v>154</v>
      </c>
      <c r="O63" s="8"/>
      <c r="P63" s="81">
        <f>37+2/7</f>
        <v>37.285714285714285</v>
      </c>
      <c r="Q63" s="8">
        <v>3</v>
      </c>
      <c r="R63" s="8">
        <v>0</v>
      </c>
      <c r="S63" s="8" t="s">
        <v>98</v>
      </c>
      <c r="T63" s="6" t="s">
        <v>80</v>
      </c>
      <c r="U63" s="6" t="s">
        <v>95</v>
      </c>
      <c r="V63" s="5" t="s">
        <v>78</v>
      </c>
      <c r="W63" s="13" t="s">
        <v>558</v>
      </c>
      <c r="X63" s="27" t="s">
        <v>194</v>
      </c>
      <c r="Y63" s="5" t="s">
        <v>373</v>
      </c>
      <c r="Z63" s="8" t="s">
        <v>39</v>
      </c>
      <c r="AA63" s="12">
        <v>45583</v>
      </c>
      <c r="AB63" s="80">
        <f>38+6/7</f>
        <v>38.857142857142854</v>
      </c>
      <c r="AC63" s="5"/>
      <c r="AD63" s="5" t="s">
        <v>207</v>
      </c>
      <c r="AE63" s="15">
        <f t="shared" si="3"/>
        <v>11</v>
      </c>
      <c r="AF63" s="15">
        <v>0</v>
      </c>
      <c r="AG63" s="5"/>
      <c r="AH63" s="6" t="s">
        <v>80</v>
      </c>
      <c r="AI63" s="13" t="s">
        <v>173</v>
      </c>
      <c r="AJ63" s="6" t="s">
        <v>175</v>
      </c>
      <c r="AK63" s="6" t="s">
        <v>83</v>
      </c>
      <c r="AL63" s="5" t="s">
        <v>207</v>
      </c>
      <c r="AM63" s="102">
        <v>39</v>
      </c>
      <c r="AN63" s="5" t="s">
        <v>5</v>
      </c>
    </row>
    <row r="64" spans="1:40" ht="75" x14ac:dyDescent="0.25">
      <c r="A64" s="57">
        <v>517666</v>
      </c>
      <c r="B64" s="6" t="s">
        <v>7</v>
      </c>
      <c r="C64" s="8" t="s">
        <v>5</v>
      </c>
      <c r="D64" s="84">
        <v>45161</v>
      </c>
      <c r="E64" s="84">
        <v>45376</v>
      </c>
      <c r="F64" s="8" t="s">
        <v>77</v>
      </c>
      <c r="G64" s="84">
        <v>30331</v>
      </c>
      <c r="H64" s="21">
        <f t="shared" si="2"/>
        <v>40</v>
      </c>
      <c r="I64" s="8">
        <v>4</v>
      </c>
      <c r="J64" s="8">
        <v>39</v>
      </c>
      <c r="K64" s="8" t="s">
        <v>30</v>
      </c>
      <c r="L64" s="8" t="s">
        <v>78</v>
      </c>
      <c r="M64" s="8"/>
      <c r="N64" s="8"/>
      <c r="O64" s="8"/>
      <c r="P64" s="81">
        <f>32+5/7</f>
        <v>32.714285714285715</v>
      </c>
      <c r="Q64" s="8">
        <v>7</v>
      </c>
      <c r="R64" s="8">
        <v>1</v>
      </c>
      <c r="S64" s="8" t="s">
        <v>98</v>
      </c>
      <c r="T64" s="5" t="s">
        <v>80</v>
      </c>
      <c r="U64" s="6" t="s">
        <v>95</v>
      </c>
      <c r="V64" s="5" t="s">
        <v>78</v>
      </c>
      <c r="W64" s="5" t="s">
        <v>559</v>
      </c>
      <c r="X64" s="6" t="s">
        <v>82</v>
      </c>
      <c r="Y64" s="5" t="s">
        <v>373</v>
      </c>
      <c r="Z64" s="8" t="s">
        <v>5</v>
      </c>
      <c r="AA64" s="12">
        <v>45399</v>
      </c>
      <c r="AB64" s="80">
        <v>36</v>
      </c>
      <c r="AC64" s="5"/>
      <c r="AD64" s="13" t="s">
        <v>563</v>
      </c>
      <c r="AE64" s="15">
        <f t="shared" si="3"/>
        <v>23</v>
      </c>
      <c r="AF64" s="15">
        <v>2</v>
      </c>
      <c r="AG64" s="13" t="s">
        <v>274</v>
      </c>
      <c r="AH64" s="6" t="s">
        <v>84</v>
      </c>
      <c r="AI64" s="13" t="s">
        <v>173</v>
      </c>
      <c r="AJ64" s="6" t="s">
        <v>82</v>
      </c>
      <c r="AK64" s="6" t="s">
        <v>275</v>
      </c>
      <c r="AL64" s="5" t="s">
        <v>260</v>
      </c>
      <c r="AM64" s="80">
        <v>36</v>
      </c>
      <c r="AN64" s="5" t="s">
        <v>260</v>
      </c>
    </row>
    <row r="65" spans="1:40" x14ac:dyDescent="0.25">
      <c r="A65" s="59">
        <v>519611</v>
      </c>
      <c r="B65" s="59" t="s">
        <v>3</v>
      </c>
      <c r="C65" s="8" t="s">
        <v>5</v>
      </c>
      <c r="D65" s="84">
        <v>45182</v>
      </c>
      <c r="E65" s="84">
        <v>45413</v>
      </c>
      <c r="F65" s="8" t="s">
        <v>77</v>
      </c>
      <c r="G65" s="84">
        <v>32263</v>
      </c>
      <c r="H65" s="21">
        <f t="shared" si="2"/>
        <v>35</v>
      </c>
      <c r="I65" s="8">
        <v>3</v>
      </c>
      <c r="J65" s="8">
        <v>36</v>
      </c>
      <c r="K65" s="8" t="s">
        <v>30</v>
      </c>
      <c r="L65" s="8" t="s">
        <v>78</v>
      </c>
      <c r="M65" s="8"/>
      <c r="N65" s="8" t="s">
        <v>92</v>
      </c>
      <c r="O65" s="8"/>
      <c r="P65" s="81">
        <f>35</f>
        <v>35</v>
      </c>
      <c r="Q65" s="8">
        <v>7</v>
      </c>
      <c r="R65" s="8">
        <v>0</v>
      </c>
      <c r="S65" s="8" t="s">
        <v>98</v>
      </c>
      <c r="T65" s="6" t="s">
        <v>80</v>
      </c>
      <c r="U65" s="6" t="s">
        <v>95</v>
      </c>
      <c r="V65" s="5" t="s">
        <v>77</v>
      </c>
      <c r="W65" s="5" t="s">
        <v>559</v>
      </c>
      <c r="X65" s="6" t="s">
        <v>82</v>
      </c>
      <c r="Y65" s="5" t="s">
        <v>373</v>
      </c>
      <c r="Z65" s="8" t="s">
        <v>39</v>
      </c>
      <c r="AA65" s="12">
        <v>45426</v>
      </c>
      <c r="AB65" s="80">
        <f>36+6/7</f>
        <v>36.857142857142854</v>
      </c>
      <c r="AC65" s="5"/>
      <c r="AD65" s="5" t="s">
        <v>207</v>
      </c>
      <c r="AE65" s="15">
        <f t="shared" si="3"/>
        <v>13</v>
      </c>
      <c r="AF65" s="15">
        <v>0</v>
      </c>
      <c r="AG65" s="5"/>
      <c r="AH65" s="6" t="s">
        <v>80</v>
      </c>
      <c r="AI65" s="5" t="s">
        <v>94</v>
      </c>
      <c r="AJ65" s="6" t="s">
        <v>82</v>
      </c>
      <c r="AK65" s="6" t="s">
        <v>83</v>
      </c>
      <c r="AL65" s="6" t="s">
        <v>207</v>
      </c>
      <c r="AM65" s="80">
        <v>37</v>
      </c>
      <c r="AN65" s="5" t="s">
        <v>268</v>
      </c>
    </row>
    <row r="66" spans="1:40" ht="45" x14ac:dyDescent="0.25">
      <c r="A66" s="57">
        <v>155478</v>
      </c>
      <c r="B66" s="58" t="s">
        <v>23</v>
      </c>
      <c r="C66" s="8" t="s">
        <v>39</v>
      </c>
      <c r="D66" s="84">
        <v>45239</v>
      </c>
      <c r="E66" s="84">
        <v>45421</v>
      </c>
      <c r="F66" s="8" t="s">
        <v>77</v>
      </c>
      <c r="G66" s="84">
        <v>30729</v>
      </c>
      <c r="H66" s="21">
        <f t="shared" ref="H66:H97" si="4">DATEDIF(G66,D66,"Y")</f>
        <v>39</v>
      </c>
      <c r="I66" s="8">
        <v>2</v>
      </c>
      <c r="J66" s="8">
        <v>38</v>
      </c>
      <c r="K66" s="8" t="s">
        <v>30</v>
      </c>
      <c r="L66" s="8" t="s">
        <v>78</v>
      </c>
      <c r="M66" s="46" t="s">
        <v>220</v>
      </c>
      <c r="N66" s="46"/>
      <c r="O66" s="8"/>
      <c r="P66" s="81">
        <v>28</v>
      </c>
      <c r="Q66" s="8">
        <v>3</v>
      </c>
      <c r="R66" s="8">
        <v>0</v>
      </c>
      <c r="S66" s="8">
        <v>1</v>
      </c>
      <c r="T66" s="5" t="s">
        <v>80</v>
      </c>
      <c r="U66" s="5" t="s">
        <v>95</v>
      </c>
      <c r="V66" s="5" t="s">
        <v>78</v>
      </c>
      <c r="W66" s="13" t="s">
        <v>560</v>
      </c>
      <c r="X66" s="13" t="s">
        <v>561</v>
      </c>
      <c r="Y66" s="5" t="s">
        <v>373</v>
      </c>
      <c r="Z66" s="8" t="s">
        <v>39</v>
      </c>
      <c r="AA66" s="12">
        <v>45428</v>
      </c>
      <c r="AB66" s="80">
        <v>29</v>
      </c>
      <c r="AC66" s="5" t="s">
        <v>472</v>
      </c>
      <c r="AD66" s="5" t="s">
        <v>571</v>
      </c>
      <c r="AE66" s="15">
        <f t="shared" si="3"/>
        <v>7</v>
      </c>
      <c r="AF66" s="5">
        <v>1</v>
      </c>
      <c r="AG66" s="5" t="s">
        <v>4</v>
      </c>
      <c r="AH66" s="5" t="s">
        <v>80</v>
      </c>
      <c r="AI66" s="13" t="s">
        <v>468</v>
      </c>
      <c r="AJ66" s="5" t="s">
        <v>471</v>
      </c>
      <c r="AK66" s="5" t="s">
        <v>423</v>
      </c>
      <c r="AL66" s="5" t="s">
        <v>4</v>
      </c>
      <c r="AM66" s="80">
        <v>30</v>
      </c>
      <c r="AN66" s="5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1388-0EEE-46DC-B31A-9A450528A073}">
  <dimension ref="A1:AN25"/>
  <sheetViews>
    <sheetView workbookViewId="0">
      <selection activeCell="J49" sqref="J49"/>
    </sheetView>
  </sheetViews>
  <sheetFormatPr baseColWidth="10" defaultRowHeight="15" x14ac:dyDescent="0.25"/>
  <sheetData>
    <row r="1" spans="1:40" ht="90" x14ac:dyDescent="0.25">
      <c r="A1" s="28" t="s">
        <v>0</v>
      </c>
      <c r="B1" s="18" t="s">
        <v>1</v>
      </c>
      <c r="C1" s="18" t="s">
        <v>36</v>
      </c>
      <c r="D1" s="18" t="s">
        <v>40</v>
      </c>
      <c r="E1" s="18" t="s">
        <v>2</v>
      </c>
      <c r="F1" s="18" t="s">
        <v>37</v>
      </c>
      <c r="G1" s="19" t="s">
        <v>29</v>
      </c>
      <c r="H1" s="19" t="s">
        <v>126</v>
      </c>
      <c r="I1" s="19" t="s">
        <v>11</v>
      </c>
      <c r="J1" s="19" t="s">
        <v>12</v>
      </c>
      <c r="K1" s="19" t="s">
        <v>13</v>
      </c>
      <c r="L1" s="19" t="s">
        <v>35</v>
      </c>
      <c r="M1" s="19" t="s">
        <v>534</v>
      </c>
      <c r="N1" s="19" t="s">
        <v>535</v>
      </c>
      <c r="O1" s="19" t="s">
        <v>15</v>
      </c>
      <c r="P1" s="20" t="s">
        <v>38</v>
      </c>
      <c r="Q1" s="20" t="s">
        <v>16</v>
      </c>
      <c r="R1" s="20" t="s">
        <v>17</v>
      </c>
      <c r="S1" s="20" t="s">
        <v>18</v>
      </c>
      <c r="T1" s="21" t="s">
        <v>25</v>
      </c>
      <c r="U1" s="22" t="s">
        <v>33</v>
      </c>
      <c r="V1" s="22" t="s">
        <v>75</v>
      </c>
      <c r="W1" s="21" t="s">
        <v>26</v>
      </c>
      <c r="X1" s="21" t="s">
        <v>27</v>
      </c>
      <c r="Y1" s="21" t="s">
        <v>28</v>
      </c>
      <c r="Z1" s="21" t="s">
        <v>34</v>
      </c>
      <c r="AA1" s="23" t="s">
        <v>32</v>
      </c>
      <c r="AB1" s="23" t="s">
        <v>19</v>
      </c>
      <c r="AC1" s="23" t="s">
        <v>20</v>
      </c>
      <c r="AD1" s="23" t="s">
        <v>21</v>
      </c>
      <c r="AE1" s="23" t="s">
        <v>22</v>
      </c>
      <c r="AF1" s="38" t="s">
        <v>255</v>
      </c>
      <c r="AG1" s="38" t="s">
        <v>256</v>
      </c>
      <c r="AH1" s="23" t="s">
        <v>41</v>
      </c>
      <c r="AI1" s="23" t="s">
        <v>26</v>
      </c>
      <c r="AJ1" s="23" t="s">
        <v>31</v>
      </c>
      <c r="AK1" s="23" t="s">
        <v>91</v>
      </c>
      <c r="AL1" s="39" t="s">
        <v>254</v>
      </c>
      <c r="AM1" s="39" t="s">
        <v>265</v>
      </c>
      <c r="AN1" s="79" t="s">
        <v>549</v>
      </c>
    </row>
    <row r="2" spans="1:40" ht="105" x14ac:dyDescent="0.25">
      <c r="A2" s="61">
        <v>515336</v>
      </c>
      <c r="B2" s="6" t="s">
        <v>7</v>
      </c>
      <c r="C2" s="51" t="s">
        <v>4</v>
      </c>
      <c r="D2" s="52">
        <v>45150</v>
      </c>
      <c r="E2" s="52">
        <v>45328</v>
      </c>
      <c r="F2" s="51" t="s">
        <v>77</v>
      </c>
      <c r="G2" s="52">
        <v>34722</v>
      </c>
      <c r="H2" s="39">
        <f t="shared" ref="H2:H9" si="0">DATEDIF(G2,D2,"Y")</f>
        <v>28</v>
      </c>
      <c r="I2" s="51">
        <v>0</v>
      </c>
      <c r="J2" s="51">
        <v>37</v>
      </c>
      <c r="K2" s="51" t="s">
        <v>135</v>
      </c>
      <c r="L2" s="51" t="s">
        <v>229</v>
      </c>
      <c r="M2" s="51"/>
      <c r="N2" s="51" t="s">
        <v>92</v>
      </c>
      <c r="O2" s="51"/>
      <c r="P2" s="85">
        <f>27+3/7</f>
        <v>27.428571428571427</v>
      </c>
      <c r="Q2" s="51">
        <v>2</v>
      </c>
      <c r="R2" s="51">
        <v>1</v>
      </c>
      <c r="S2" s="51" t="s">
        <v>98</v>
      </c>
      <c r="T2" s="5" t="s">
        <v>80</v>
      </c>
      <c r="U2" s="5" t="s">
        <v>165</v>
      </c>
      <c r="V2" s="5" t="s">
        <v>77</v>
      </c>
      <c r="W2" s="5" t="s">
        <v>559</v>
      </c>
      <c r="X2" s="5" t="s">
        <v>82</v>
      </c>
      <c r="Y2" s="5" t="s">
        <v>373</v>
      </c>
      <c r="Z2" s="8" t="s">
        <v>6</v>
      </c>
      <c r="AA2" s="12">
        <v>45385</v>
      </c>
      <c r="AB2" s="80">
        <v>36</v>
      </c>
      <c r="AC2" s="5"/>
      <c r="AD2" s="5" t="s">
        <v>207</v>
      </c>
      <c r="AE2" s="15">
        <f t="shared" ref="AE2:AE25" si="1">DATEDIF(E2,AA2,"D")</f>
        <v>57</v>
      </c>
      <c r="AF2" s="15">
        <v>2</v>
      </c>
      <c r="AG2" s="13" t="s">
        <v>231</v>
      </c>
      <c r="AH2" s="5" t="s">
        <v>80</v>
      </c>
      <c r="AI2" s="5" t="s">
        <v>94</v>
      </c>
      <c r="AJ2" s="5" t="s">
        <v>82</v>
      </c>
      <c r="AK2" s="13" t="s">
        <v>230</v>
      </c>
      <c r="AL2" s="5" t="s">
        <v>207</v>
      </c>
      <c r="AM2" s="80">
        <v>36</v>
      </c>
      <c r="AN2" s="5" t="s">
        <v>4</v>
      </c>
    </row>
    <row r="3" spans="1:40" ht="60" x14ac:dyDescent="0.25">
      <c r="A3" s="57">
        <v>227712</v>
      </c>
      <c r="B3" s="58" t="s">
        <v>23</v>
      </c>
      <c r="C3" s="8" t="s">
        <v>39</v>
      </c>
      <c r="D3" s="84">
        <v>45085</v>
      </c>
      <c r="E3" s="84">
        <v>45267</v>
      </c>
      <c r="F3" s="8" t="s">
        <v>77</v>
      </c>
      <c r="G3" s="84">
        <v>32981</v>
      </c>
      <c r="H3" s="21">
        <f t="shared" si="0"/>
        <v>33</v>
      </c>
      <c r="I3" s="8">
        <v>0</v>
      </c>
      <c r="J3" s="8">
        <v>34</v>
      </c>
      <c r="K3" s="8" t="s">
        <v>30</v>
      </c>
      <c r="L3" s="8" t="s">
        <v>78</v>
      </c>
      <c r="M3" s="8"/>
      <c r="N3" s="8"/>
      <c r="O3" s="8"/>
      <c r="P3" s="81">
        <f>28+1/7</f>
        <v>28.142857142857142</v>
      </c>
      <c r="Q3" s="8">
        <v>2</v>
      </c>
      <c r="R3" s="8">
        <v>0</v>
      </c>
      <c r="S3" s="8">
        <v>1</v>
      </c>
      <c r="T3" s="5" t="s">
        <v>80</v>
      </c>
      <c r="U3" s="5" t="s">
        <v>165</v>
      </c>
      <c r="V3" s="5" t="s">
        <v>77</v>
      </c>
      <c r="W3" s="5" t="s">
        <v>559</v>
      </c>
      <c r="X3" s="5" t="s">
        <v>82</v>
      </c>
      <c r="Y3" s="5" t="s">
        <v>373</v>
      </c>
      <c r="Z3" s="8" t="s">
        <v>76</v>
      </c>
      <c r="AA3" s="12">
        <v>45310</v>
      </c>
      <c r="AB3" s="80">
        <f>34+1/7</f>
        <v>34.142857142857146</v>
      </c>
      <c r="AC3" s="5" t="s">
        <v>4</v>
      </c>
      <c r="AD3" s="5" t="s">
        <v>573</v>
      </c>
      <c r="AE3" s="15">
        <f t="shared" si="1"/>
        <v>43</v>
      </c>
      <c r="AF3" s="5">
        <v>2</v>
      </c>
      <c r="AG3" s="13" t="s">
        <v>572</v>
      </c>
      <c r="AH3" s="5" t="s">
        <v>84</v>
      </c>
      <c r="AI3" s="5" t="s">
        <v>210</v>
      </c>
      <c r="AJ3" s="5" t="s">
        <v>82</v>
      </c>
      <c r="AK3" s="13" t="s">
        <v>423</v>
      </c>
      <c r="AL3" s="5" t="s">
        <v>4</v>
      </c>
      <c r="AM3" s="80">
        <f>35+2/7</f>
        <v>35.285714285714285</v>
      </c>
      <c r="AN3" s="5" t="s">
        <v>260</v>
      </c>
    </row>
    <row r="4" spans="1:40" x14ac:dyDescent="0.25">
      <c r="A4" s="57">
        <v>509494</v>
      </c>
      <c r="B4" s="58" t="s">
        <v>8</v>
      </c>
      <c r="C4" s="86" t="s">
        <v>76</v>
      </c>
      <c r="D4" s="87">
        <v>45057</v>
      </c>
      <c r="E4" s="87">
        <v>45239</v>
      </c>
      <c r="F4" s="86" t="s">
        <v>77</v>
      </c>
      <c r="G4" s="87">
        <v>35368</v>
      </c>
      <c r="H4" s="88">
        <f t="shared" si="0"/>
        <v>26</v>
      </c>
      <c r="I4" s="86">
        <v>0</v>
      </c>
      <c r="J4" s="86">
        <v>23</v>
      </c>
      <c r="K4" s="86" t="s">
        <v>30</v>
      </c>
      <c r="L4" s="86" t="s">
        <v>78</v>
      </c>
      <c r="M4" s="86"/>
      <c r="N4" s="86" t="s">
        <v>154</v>
      </c>
      <c r="O4" s="86"/>
      <c r="P4" s="89">
        <f>29+1/7</f>
        <v>29.142857142857142</v>
      </c>
      <c r="Q4" s="86">
        <v>2</v>
      </c>
      <c r="R4" s="86">
        <v>0</v>
      </c>
      <c r="S4" s="86">
        <v>1</v>
      </c>
      <c r="T4" s="5" t="s">
        <v>80</v>
      </c>
      <c r="U4" s="5" t="s">
        <v>165</v>
      </c>
      <c r="V4" s="5" t="s">
        <v>78</v>
      </c>
      <c r="W4" s="5" t="s">
        <v>559</v>
      </c>
      <c r="X4" s="5" t="s">
        <v>82</v>
      </c>
      <c r="Y4" s="5" t="s">
        <v>351</v>
      </c>
      <c r="Z4" s="8" t="s">
        <v>76</v>
      </c>
      <c r="AA4" s="12">
        <v>45314</v>
      </c>
      <c r="AB4" s="80">
        <f>38+6/7</f>
        <v>38.857142857142854</v>
      </c>
      <c r="AC4" s="5"/>
      <c r="AD4" s="5" t="s">
        <v>207</v>
      </c>
      <c r="AE4" s="15">
        <f t="shared" si="1"/>
        <v>75</v>
      </c>
      <c r="AF4" s="5">
        <v>0</v>
      </c>
      <c r="AG4" s="5"/>
      <c r="AH4" s="5" t="s">
        <v>80</v>
      </c>
      <c r="AI4" s="5" t="s">
        <v>383</v>
      </c>
      <c r="AJ4" s="5" t="s">
        <v>82</v>
      </c>
      <c r="AK4" s="5" t="s">
        <v>351</v>
      </c>
      <c r="AL4" s="5" t="s">
        <v>207</v>
      </c>
      <c r="AM4" s="80">
        <v>39</v>
      </c>
      <c r="AN4" s="5" t="s">
        <v>382</v>
      </c>
    </row>
    <row r="5" spans="1:40" ht="75" x14ac:dyDescent="0.25">
      <c r="A5" s="58">
        <v>513515</v>
      </c>
      <c r="B5" s="58" t="s">
        <v>8</v>
      </c>
      <c r="C5" s="86" t="s">
        <v>76</v>
      </c>
      <c r="D5" s="87">
        <v>45111</v>
      </c>
      <c r="E5" s="87">
        <v>45316</v>
      </c>
      <c r="F5" s="86" t="s">
        <v>77</v>
      </c>
      <c r="G5" s="87">
        <v>30922</v>
      </c>
      <c r="H5" s="88">
        <f t="shared" si="0"/>
        <v>38</v>
      </c>
      <c r="I5" s="91">
        <v>1</v>
      </c>
      <c r="J5" s="86">
        <v>28</v>
      </c>
      <c r="K5" s="86" t="s">
        <v>30</v>
      </c>
      <c r="L5" s="86" t="s">
        <v>78</v>
      </c>
      <c r="M5" s="90" t="s">
        <v>76</v>
      </c>
      <c r="N5" s="90" t="s">
        <v>181</v>
      </c>
      <c r="O5" s="90"/>
      <c r="P5" s="89">
        <f>29+3/7</f>
        <v>29.428571428571427</v>
      </c>
      <c r="Q5" s="86">
        <v>2</v>
      </c>
      <c r="R5" s="86">
        <v>0</v>
      </c>
      <c r="S5" s="86">
        <v>1</v>
      </c>
      <c r="T5" s="5" t="s">
        <v>80</v>
      </c>
      <c r="U5" s="5" t="s">
        <v>165</v>
      </c>
      <c r="V5" s="5" t="s">
        <v>78</v>
      </c>
      <c r="W5" s="5" t="s">
        <v>559</v>
      </c>
      <c r="X5" s="5" t="s">
        <v>82</v>
      </c>
      <c r="Y5" s="5" t="s">
        <v>351</v>
      </c>
      <c r="Z5" s="8" t="s">
        <v>76</v>
      </c>
      <c r="AA5" s="12">
        <v>45381</v>
      </c>
      <c r="AB5" s="80">
        <f>37+6/7</f>
        <v>37.857142857142854</v>
      </c>
      <c r="AC5" s="5"/>
      <c r="AD5" s="5" t="s">
        <v>207</v>
      </c>
      <c r="AE5" s="15">
        <f t="shared" si="1"/>
        <v>65</v>
      </c>
      <c r="AF5" s="5">
        <v>2</v>
      </c>
      <c r="AG5" s="13" t="s">
        <v>349</v>
      </c>
      <c r="AH5" s="5" t="s">
        <v>80</v>
      </c>
      <c r="AI5" s="13" t="s">
        <v>350</v>
      </c>
      <c r="AJ5" s="5" t="s">
        <v>82</v>
      </c>
      <c r="AK5" s="5" t="s">
        <v>351</v>
      </c>
      <c r="AL5" s="5" t="s">
        <v>207</v>
      </c>
      <c r="AM5" s="80">
        <v>38</v>
      </c>
      <c r="AN5" s="5" t="s">
        <v>346</v>
      </c>
    </row>
    <row r="6" spans="1:40" x14ac:dyDescent="0.25">
      <c r="A6" s="57">
        <v>508218</v>
      </c>
      <c r="B6" s="58" t="s">
        <v>8</v>
      </c>
      <c r="C6" s="86" t="s">
        <v>76</v>
      </c>
      <c r="D6" s="87">
        <v>45293</v>
      </c>
      <c r="E6" s="87">
        <v>45491</v>
      </c>
      <c r="F6" s="86" t="s">
        <v>77</v>
      </c>
      <c r="G6" s="87">
        <v>35909</v>
      </c>
      <c r="H6" s="88">
        <f t="shared" si="0"/>
        <v>25</v>
      </c>
      <c r="I6" s="86">
        <v>0</v>
      </c>
      <c r="J6" s="86">
        <v>47</v>
      </c>
      <c r="K6" s="86" t="s">
        <v>30</v>
      </c>
      <c r="L6" s="86" t="s">
        <v>78</v>
      </c>
      <c r="M6" s="90" t="s">
        <v>369</v>
      </c>
      <c r="N6" s="86" t="s">
        <v>92</v>
      </c>
      <c r="O6" s="86"/>
      <c r="P6" s="89">
        <f>30+2/7</f>
        <v>30.285714285714285</v>
      </c>
      <c r="Q6" s="86">
        <v>2</v>
      </c>
      <c r="R6" s="86">
        <v>0</v>
      </c>
      <c r="S6" s="86">
        <v>1</v>
      </c>
      <c r="T6" s="5" t="s">
        <v>80</v>
      </c>
      <c r="U6" s="6" t="s">
        <v>165</v>
      </c>
      <c r="V6" s="5" t="s">
        <v>78</v>
      </c>
      <c r="W6" s="5" t="s">
        <v>559</v>
      </c>
      <c r="X6" s="5" t="s">
        <v>82</v>
      </c>
      <c r="Y6" s="5" t="s">
        <v>351</v>
      </c>
      <c r="Z6" s="8" t="s">
        <v>76</v>
      </c>
      <c r="AA6" s="12">
        <v>45550</v>
      </c>
      <c r="AB6" s="80">
        <f>38+5/7</f>
        <v>38.714285714285715</v>
      </c>
      <c r="AC6" s="5"/>
      <c r="AD6" s="5" t="s">
        <v>367</v>
      </c>
      <c r="AE6" s="15">
        <f t="shared" si="1"/>
        <v>59</v>
      </c>
      <c r="AF6" s="5">
        <v>0</v>
      </c>
      <c r="AG6" s="5"/>
      <c r="AH6" s="5" t="s">
        <v>80</v>
      </c>
      <c r="AI6" s="5" t="s">
        <v>94</v>
      </c>
      <c r="AJ6" s="5" t="s">
        <v>82</v>
      </c>
      <c r="AK6" s="5" t="s">
        <v>351</v>
      </c>
      <c r="AL6" s="5" t="s">
        <v>207</v>
      </c>
      <c r="AM6" s="80">
        <v>39</v>
      </c>
      <c r="AN6" s="5" t="s">
        <v>368</v>
      </c>
    </row>
    <row r="7" spans="1:40" ht="25.5" x14ac:dyDescent="0.25">
      <c r="A7" s="57" t="s">
        <v>9</v>
      </c>
      <c r="B7" s="58" t="s">
        <v>8</v>
      </c>
      <c r="C7" s="86" t="s">
        <v>76</v>
      </c>
      <c r="D7" s="87">
        <v>45052</v>
      </c>
      <c r="E7" s="87">
        <v>45258</v>
      </c>
      <c r="F7" s="86" t="s">
        <v>77</v>
      </c>
      <c r="G7" s="87">
        <v>31336</v>
      </c>
      <c r="H7" s="88">
        <f t="shared" si="0"/>
        <v>37</v>
      </c>
      <c r="I7" s="86">
        <v>0</v>
      </c>
      <c r="J7" s="86">
        <v>22</v>
      </c>
      <c r="K7" s="86" t="s">
        <v>30</v>
      </c>
      <c r="L7" s="86" t="s">
        <v>78</v>
      </c>
      <c r="M7" s="86"/>
      <c r="N7" s="86"/>
      <c r="O7" s="86"/>
      <c r="P7" s="89">
        <f>31+3/7</f>
        <v>31.428571428571427</v>
      </c>
      <c r="Q7" s="86">
        <v>2</v>
      </c>
      <c r="R7" s="86">
        <v>0</v>
      </c>
      <c r="S7" s="86">
        <v>1</v>
      </c>
      <c r="T7" s="5" t="s">
        <v>80</v>
      </c>
      <c r="U7" s="5" t="s">
        <v>165</v>
      </c>
      <c r="V7" s="5" t="s">
        <v>78</v>
      </c>
      <c r="W7" s="5" t="s">
        <v>559</v>
      </c>
      <c r="X7" s="5" t="s">
        <v>82</v>
      </c>
      <c r="Y7" s="5" t="s">
        <v>351</v>
      </c>
      <c r="Z7" s="8" t="s">
        <v>76</v>
      </c>
      <c r="AA7" s="12">
        <v>45318</v>
      </c>
      <c r="AB7" s="80">
        <f>39+3/7</f>
        <v>39.428571428571431</v>
      </c>
      <c r="AC7" s="5" t="s">
        <v>385</v>
      </c>
      <c r="AD7" s="5" t="s">
        <v>134</v>
      </c>
      <c r="AE7" s="15">
        <f t="shared" si="1"/>
        <v>60</v>
      </c>
      <c r="AF7" s="5">
        <v>0</v>
      </c>
      <c r="AG7" s="5"/>
      <c r="AH7" s="5" t="s">
        <v>80</v>
      </c>
      <c r="AI7" s="5" t="s">
        <v>383</v>
      </c>
      <c r="AJ7" s="5" t="s">
        <v>82</v>
      </c>
      <c r="AK7" s="5" t="s">
        <v>351</v>
      </c>
      <c r="AL7" s="5" t="s">
        <v>134</v>
      </c>
      <c r="AM7" s="80">
        <f>39+3/7</f>
        <v>39.428571428571431</v>
      </c>
      <c r="AN7" s="5"/>
    </row>
    <row r="8" spans="1:40" x14ac:dyDescent="0.25">
      <c r="A8" s="60">
        <v>423810</v>
      </c>
      <c r="B8" s="6" t="s">
        <v>7</v>
      </c>
      <c r="C8" s="86" t="s">
        <v>6</v>
      </c>
      <c r="D8" s="87">
        <v>45252</v>
      </c>
      <c r="E8" s="87">
        <v>45460</v>
      </c>
      <c r="F8" s="86" t="s">
        <v>77</v>
      </c>
      <c r="G8" s="87">
        <v>33135</v>
      </c>
      <c r="H8" s="88">
        <f t="shared" si="0"/>
        <v>33</v>
      </c>
      <c r="I8" s="86">
        <v>1</v>
      </c>
      <c r="J8" s="86">
        <v>38</v>
      </c>
      <c r="K8" s="86" t="s">
        <v>30</v>
      </c>
      <c r="L8" s="86" t="s">
        <v>78</v>
      </c>
      <c r="M8" s="86"/>
      <c r="N8" s="86"/>
      <c r="O8" s="86"/>
      <c r="P8" s="89">
        <f>31+5/7</f>
        <v>31.714285714285715</v>
      </c>
      <c r="Q8" s="86">
        <v>2</v>
      </c>
      <c r="R8" s="86">
        <v>1</v>
      </c>
      <c r="S8" s="86" t="s">
        <v>98</v>
      </c>
      <c r="T8" s="5" t="s">
        <v>71</v>
      </c>
      <c r="U8" s="5" t="s">
        <v>165</v>
      </c>
      <c r="V8" s="6" t="s">
        <v>78</v>
      </c>
      <c r="W8" s="5" t="s">
        <v>559</v>
      </c>
      <c r="X8" s="5" t="s">
        <v>82</v>
      </c>
      <c r="Y8" s="5" t="s">
        <v>373</v>
      </c>
      <c r="Z8" s="8" t="s">
        <v>6</v>
      </c>
      <c r="AA8" s="12">
        <v>45511</v>
      </c>
      <c r="AB8" s="80">
        <f>38+4/7</f>
        <v>38.571428571428569</v>
      </c>
      <c r="AC8" s="5"/>
      <c r="AD8" s="5" t="s">
        <v>207</v>
      </c>
      <c r="AE8" s="15">
        <f t="shared" si="1"/>
        <v>51</v>
      </c>
      <c r="AF8" s="15">
        <v>0</v>
      </c>
      <c r="AG8" s="5"/>
      <c r="AH8" s="5" t="s">
        <v>71</v>
      </c>
      <c r="AI8" s="5" t="s">
        <v>94</v>
      </c>
      <c r="AJ8" s="5" t="s">
        <v>82</v>
      </c>
      <c r="AK8" s="5" t="s">
        <v>83</v>
      </c>
      <c r="AL8" s="5" t="s">
        <v>207</v>
      </c>
      <c r="AM8" s="102">
        <v>39</v>
      </c>
      <c r="AN8" s="6" t="s">
        <v>76</v>
      </c>
    </row>
    <row r="9" spans="1:40" x14ac:dyDescent="0.25">
      <c r="A9" s="61">
        <v>487721</v>
      </c>
      <c r="B9" s="6" t="s">
        <v>7</v>
      </c>
      <c r="C9" s="86" t="s">
        <v>76</v>
      </c>
      <c r="D9" s="87">
        <v>45117</v>
      </c>
      <c r="E9" s="87">
        <v>45327</v>
      </c>
      <c r="F9" s="86" t="s">
        <v>77</v>
      </c>
      <c r="G9" s="87">
        <v>31589</v>
      </c>
      <c r="H9" s="88">
        <f t="shared" si="0"/>
        <v>37</v>
      </c>
      <c r="I9" s="86">
        <v>5</v>
      </c>
      <c r="J9" s="86">
        <v>47</v>
      </c>
      <c r="K9" s="86" t="s">
        <v>30</v>
      </c>
      <c r="L9" s="86" t="s">
        <v>78</v>
      </c>
      <c r="M9" s="86" t="s">
        <v>182</v>
      </c>
      <c r="N9" s="86" t="s">
        <v>154</v>
      </c>
      <c r="O9" s="86"/>
      <c r="P9" s="89">
        <f>32</f>
        <v>32</v>
      </c>
      <c r="Q9" s="86">
        <v>2</v>
      </c>
      <c r="R9" s="86">
        <v>1</v>
      </c>
      <c r="S9" s="86" t="s">
        <v>253</v>
      </c>
      <c r="T9" s="5" t="s">
        <v>71</v>
      </c>
      <c r="U9" s="5" t="s">
        <v>165</v>
      </c>
      <c r="V9" s="5" t="s">
        <v>78</v>
      </c>
      <c r="W9" s="5" t="s">
        <v>559</v>
      </c>
      <c r="X9" s="5" t="s">
        <v>82</v>
      </c>
      <c r="Y9" s="5" t="s">
        <v>373</v>
      </c>
      <c r="Z9" s="8" t="s">
        <v>76</v>
      </c>
      <c r="AA9" s="12">
        <v>45363</v>
      </c>
      <c r="AB9" s="80">
        <f>37+2/7</f>
        <v>37.285714285714285</v>
      </c>
      <c r="AC9" s="5"/>
      <c r="AD9" s="5" t="s">
        <v>207</v>
      </c>
      <c r="AE9" s="15">
        <f t="shared" si="1"/>
        <v>36</v>
      </c>
      <c r="AF9" s="15">
        <v>0</v>
      </c>
      <c r="AG9" s="5"/>
      <c r="AH9" s="5" t="s">
        <v>71</v>
      </c>
      <c r="AI9" s="5" t="s">
        <v>94</v>
      </c>
      <c r="AJ9" s="5" t="s">
        <v>82</v>
      </c>
      <c r="AK9" s="5" t="s">
        <v>83</v>
      </c>
      <c r="AL9" s="5" t="s">
        <v>207</v>
      </c>
      <c r="AM9" s="80">
        <f>37+3/7</f>
        <v>37.428571428571431</v>
      </c>
      <c r="AN9" s="5" t="s">
        <v>319</v>
      </c>
    </row>
    <row r="10" spans="1:40" ht="30" x14ac:dyDescent="0.25">
      <c r="A10" s="57">
        <v>278817</v>
      </c>
      <c r="B10" s="58" t="s">
        <v>23</v>
      </c>
      <c r="C10" s="8" t="s">
        <v>343</v>
      </c>
      <c r="D10" s="84">
        <v>45102</v>
      </c>
      <c r="E10" s="84">
        <v>45329</v>
      </c>
      <c r="F10" s="8" t="s">
        <v>77</v>
      </c>
      <c r="G10" s="84">
        <v>30831</v>
      </c>
      <c r="H10" s="21">
        <f>DATEDIF(G10,E10,"Y")</f>
        <v>39</v>
      </c>
      <c r="I10" s="8">
        <v>5</v>
      </c>
      <c r="J10" s="8">
        <v>35</v>
      </c>
      <c r="K10" s="8" t="s">
        <v>30</v>
      </c>
      <c r="L10" s="8" t="s">
        <v>78</v>
      </c>
      <c r="M10" s="46" t="s">
        <v>84</v>
      </c>
      <c r="N10" s="8" t="s">
        <v>92</v>
      </c>
      <c r="O10" s="8"/>
      <c r="P10" s="81">
        <f>32+1/7</f>
        <v>32.142857142857146</v>
      </c>
      <c r="Q10" s="8">
        <v>2</v>
      </c>
      <c r="R10" s="8">
        <v>0</v>
      </c>
      <c r="S10" s="8">
        <v>1</v>
      </c>
      <c r="T10" s="5" t="s">
        <v>80</v>
      </c>
      <c r="U10" s="5" t="s">
        <v>165</v>
      </c>
      <c r="V10" s="5" t="s">
        <v>78</v>
      </c>
      <c r="W10" s="5" t="s">
        <v>559</v>
      </c>
      <c r="X10" s="5" t="s">
        <v>82</v>
      </c>
      <c r="Y10" s="5" t="s">
        <v>373</v>
      </c>
      <c r="Z10" s="8" t="s">
        <v>76</v>
      </c>
      <c r="AA10" s="12">
        <v>45351</v>
      </c>
      <c r="AB10" s="80">
        <f>37+4/7</f>
        <v>37.571428571428569</v>
      </c>
      <c r="AC10" s="5" t="s">
        <v>84</v>
      </c>
      <c r="AD10" s="27" t="s">
        <v>282</v>
      </c>
      <c r="AE10" s="15">
        <f t="shared" si="1"/>
        <v>22</v>
      </c>
      <c r="AF10" s="5">
        <v>1</v>
      </c>
      <c r="AG10" s="27" t="s">
        <v>505</v>
      </c>
      <c r="AH10" s="5" t="s">
        <v>84</v>
      </c>
      <c r="AI10" s="5" t="s">
        <v>210</v>
      </c>
      <c r="AJ10" s="5" t="s">
        <v>82</v>
      </c>
      <c r="AK10" s="5" t="s">
        <v>83</v>
      </c>
      <c r="AL10" s="6" t="s">
        <v>84</v>
      </c>
      <c r="AM10" s="80">
        <f>37+4/7</f>
        <v>37.571428571428569</v>
      </c>
      <c r="AN10" s="13" t="s">
        <v>506</v>
      </c>
    </row>
    <row r="11" spans="1:40" x14ac:dyDescent="0.25">
      <c r="A11" s="60">
        <v>524484</v>
      </c>
      <c r="B11" s="6" t="s">
        <v>7</v>
      </c>
      <c r="C11" s="90" t="s">
        <v>76</v>
      </c>
      <c r="D11" s="87">
        <v>45319</v>
      </c>
      <c r="E11" s="87">
        <v>45533</v>
      </c>
      <c r="F11" s="86" t="s">
        <v>77</v>
      </c>
      <c r="G11" s="87">
        <v>30995</v>
      </c>
      <c r="H11" s="88">
        <f t="shared" ref="H11:H25" si="2">DATEDIF(G11,D11,"Y")</f>
        <v>39</v>
      </c>
      <c r="I11" s="86">
        <v>2</v>
      </c>
      <c r="J11" s="86">
        <v>40</v>
      </c>
      <c r="K11" s="86" t="s">
        <v>30</v>
      </c>
      <c r="L11" s="86" t="s">
        <v>78</v>
      </c>
      <c r="M11" s="86"/>
      <c r="N11" s="86" t="s">
        <v>92</v>
      </c>
      <c r="O11" s="86"/>
      <c r="P11" s="89">
        <f>32+4/7</f>
        <v>32.571428571428569</v>
      </c>
      <c r="Q11" s="86">
        <v>2</v>
      </c>
      <c r="R11" s="86">
        <v>1</v>
      </c>
      <c r="S11" s="86" t="s">
        <v>98</v>
      </c>
      <c r="T11" s="5" t="s">
        <v>80</v>
      </c>
      <c r="U11" s="5" t="s">
        <v>165</v>
      </c>
      <c r="V11" s="5" t="s">
        <v>78</v>
      </c>
      <c r="W11" s="5" t="s">
        <v>559</v>
      </c>
      <c r="X11" s="5" t="s">
        <v>82</v>
      </c>
      <c r="Y11" s="5" t="s">
        <v>373</v>
      </c>
      <c r="Z11" s="8" t="s">
        <v>76</v>
      </c>
      <c r="AA11" s="12">
        <v>45572</v>
      </c>
      <c r="AB11" s="80">
        <f>38+1/7</f>
        <v>38.142857142857146</v>
      </c>
      <c r="AC11" s="5"/>
      <c r="AD11" s="5" t="s">
        <v>207</v>
      </c>
      <c r="AE11" s="15">
        <f t="shared" si="1"/>
        <v>39</v>
      </c>
      <c r="AF11" s="15">
        <v>0</v>
      </c>
      <c r="AG11" s="5"/>
      <c r="AH11" s="5" t="s">
        <v>84</v>
      </c>
      <c r="AI11" s="5" t="s">
        <v>94</v>
      </c>
      <c r="AJ11" s="5" t="s">
        <v>82</v>
      </c>
      <c r="AK11" s="5" t="s">
        <v>121</v>
      </c>
      <c r="AL11" s="5" t="s">
        <v>207</v>
      </c>
      <c r="AM11" s="80">
        <f>38+3/7</f>
        <v>38.428571428571431</v>
      </c>
      <c r="AN11" s="5" t="s">
        <v>318</v>
      </c>
    </row>
    <row r="12" spans="1:40" ht="30" x14ac:dyDescent="0.25">
      <c r="A12" s="62">
        <v>411682</v>
      </c>
      <c r="B12" s="58" t="s">
        <v>23</v>
      </c>
      <c r="C12" s="86" t="s">
        <v>76</v>
      </c>
      <c r="D12" s="87">
        <v>45330</v>
      </c>
      <c r="E12" s="87">
        <v>45306</v>
      </c>
      <c r="F12" s="86" t="s">
        <v>77</v>
      </c>
      <c r="G12" s="87">
        <v>30722</v>
      </c>
      <c r="H12" s="88">
        <f t="shared" si="2"/>
        <v>39</v>
      </c>
      <c r="I12" s="86">
        <v>1</v>
      </c>
      <c r="J12" s="86" t="s">
        <v>208</v>
      </c>
      <c r="K12" s="86" t="s">
        <v>30</v>
      </c>
      <c r="L12" s="86" t="s">
        <v>78</v>
      </c>
      <c r="M12" s="90" t="s">
        <v>547</v>
      </c>
      <c r="N12" s="86" t="s">
        <v>92</v>
      </c>
      <c r="O12" s="86"/>
      <c r="P12" s="89">
        <f>35+4/7</f>
        <v>35.571428571428569</v>
      </c>
      <c r="Q12" s="86">
        <v>2</v>
      </c>
      <c r="R12" s="86">
        <v>0</v>
      </c>
      <c r="S12" s="86">
        <v>1</v>
      </c>
      <c r="T12" s="5" t="s">
        <v>80</v>
      </c>
      <c r="U12" s="5" t="s">
        <v>165</v>
      </c>
      <c r="V12" s="5" t="s">
        <v>78</v>
      </c>
      <c r="W12" s="5" t="s">
        <v>559</v>
      </c>
      <c r="X12" s="5" t="s">
        <v>82</v>
      </c>
      <c r="Y12" s="5" t="s">
        <v>373</v>
      </c>
      <c r="Z12" s="8" t="s">
        <v>76</v>
      </c>
      <c r="AA12" s="12">
        <v>45310</v>
      </c>
      <c r="AB12" s="80">
        <f>36+1/7</f>
        <v>36.142857142857146</v>
      </c>
      <c r="AC12" s="5"/>
      <c r="AD12" s="5" t="s">
        <v>579</v>
      </c>
      <c r="AE12" s="15">
        <f t="shared" si="1"/>
        <v>4</v>
      </c>
      <c r="AF12" s="5">
        <v>1</v>
      </c>
      <c r="AG12" s="5" t="s">
        <v>134</v>
      </c>
      <c r="AH12" s="5" t="s">
        <v>80</v>
      </c>
      <c r="AI12" s="5" t="s">
        <v>210</v>
      </c>
      <c r="AJ12" s="5" t="s">
        <v>82</v>
      </c>
      <c r="AK12" s="5" t="s">
        <v>373</v>
      </c>
      <c r="AL12" s="5" t="s">
        <v>134</v>
      </c>
      <c r="AM12" s="80">
        <f>36+1/7</f>
        <v>36.142857142857146</v>
      </c>
      <c r="AN12" s="5"/>
    </row>
    <row r="13" spans="1:40" ht="30" x14ac:dyDescent="0.25">
      <c r="A13" s="62">
        <v>513523</v>
      </c>
      <c r="B13" s="58" t="s">
        <v>23</v>
      </c>
      <c r="C13" s="90" t="s">
        <v>76</v>
      </c>
      <c r="D13" s="87">
        <v>45171</v>
      </c>
      <c r="E13" s="87">
        <v>45412</v>
      </c>
      <c r="F13" s="86" t="s">
        <v>77</v>
      </c>
      <c r="G13" s="87">
        <v>29756</v>
      </c>
      <c r="H13" s="88">
        <f t="shared" si="2"/>
        <v>42</v>
      </c>
      <c r="I13" s="86">
        <v>2</v>
      </c>
      <c r="J13" s="86">
        <v>30</v>
      </c>
      <c r="K13" s="86" t="s">
        <v>30</v>
      </c>
      <c r="L13" s="86" t="s">
        <v>78</v>
      </c>
      <c r="M13" s="86"/>
      <c r="N13" s="86" t="s">
        <v>92</v>
      </c>
      <c r="O13" s="103"/>
      <c r="P13" s="89">
        <f>36+3/7</f>
        <v>36.428571428571431</v>
      </c>
      <c r="Q13" s="86">
        <v>2</v>
      </c>
      <c r="R13" s="86">
        <v>0</v>
      </c>
      <c r="S13" s="86">
        <v>1</v>
      </c>
      <c r="T13" s="5" t="s">
        <v>80</v>
      </c>
      <c r="U13" s="5" t="s">
        <v>165</v>
      </c>
      <c r="V13" s="5" t="s">
        <v>78</v>
      </c>
      <c r="W13" s="5" t="s">
        <v>559</v>
      </c>
      <c r="X13" s="5" t="s">
        <v>82</v>
      </c>
      <c r="Y13" s="5" t="s">
        <v>373</v>
      </c>
      <c r="Z13" s="8" t="s">
        <v>76</v>
      </c>
      <c r="AA13" s="12">
        <v>45426</v>
      </c>
      <c r="AB13" s="80">
        <f>38+3/7</f>
        <v>38.428571428571431</v>
      </c>
      <c r="AC13" s="5"/>
      <c r="AD13" s="13" t="s">
        <v>569</v>
      </c>
      <c r="AE13" s="15">
        <f t="shared" si="1"/>
        <v>14</v>
      </c>
      <c r="AF13" s="5">
        <v>1</v>
      </c>
      <c r="AG13" s="13" t="s">
        <v>400</v>
      </c>
      <c r="AH13" s="5" t="s">
        <v>80</v>
      </c>
      <c r="AI13" s="5" t="s">
        <v>210</v>
      </c>
      <c r="AJ13" s="5" t="s">
        <v>82</v>
      </c>
      <c r="AK13" s="5" t="s">
        <v>373</v>
      </c>
      <c r="AL13" s="5" t="s">
        <v>260</v>
      </c>
      <c r="AM13" s="80">
        <f>38+3/7</f>
        <v>38.428571428571431</v>
      </c>
      <c r="AN13" s="5" t="s">
        <v>260</v>
      </c>
    </row>
    <row r="14" spans="1:40" ht="30" x14ac:dyDescent="0.25">
      <c r="A14" s="59">
        <v>517696</v>
      </c>
      <c r="B14" s="59" t="s">
        <v>3</v>
      </c>
      <c r="C14" s="86" t="s">
        <v>6</v>
      </c>
      <c r="D14" s="87">
        <v>45209</v>
      </c>
      <c r="E14" s="87">
        <v>45373</v>
      </c>
      <c r="F14" s="86" t="s">
        <v>77</v>
      </c>
      <c r="G14" s="87">
        <v>29937</v>
      </c>
      <c r="H14" s="88">
        <f t="shared" si="2"/>
        <v>41</v>
      </c>
      <c r="I14" s="86">
        <v>0</v>
      </c>
      <c r="J14" s="86">
        <v>18</v>
      </c>
      <c r="K14" s="86" t="s">
        <v>135</v>
      </c>
      <c r="L14" s="86" t="s">
        <v>78</v>
      </c>
      <c r="M14" s="86"/>
      <c r="N14" s="86"/>
      <c r="O14" s="103" t="s">
        <v>136</v>
      </c>
      <c r="P14" s="89">
        <f>25+2/7</f>
        <v>25.285714285714285</v>
      </c>
      <c r="Q14" s="86">
        <v>3</v>
      </c>
      <c r="R14" s="86">
        <v>0</v>
      </c>
      <c r="S14" s="86" t="s">
        <v>98</v>
      </c>
      <c r="T14" s="5" t="s">
        <v>84</v>
      </c>
      <c r="U14" s="6" t="s">
        <v>165</v>
      </c>
      <c r="V14" s="5" t="s">
        <v>77</v>
      </c>
      <c r="W14" s="5" t="s">
        <v>559</v>
      </c>
      <c r="X14" s="6" t="s">
        <v>82</v>
      </c>
      <c r="Y14" s="5" t="s">
        <v>373</v>
      </c>
      <c r="Z14" s="8" t="s">
        <v>76</v>
      </c>
      <c r="AA14" s="12">
        <v>45373</v>
      </c>
      <c r="AB14" s="80">
        <f>25+2/7</f>
        <v>25.285714285714285</v>
      </c>
      <c r="AC14" s="5"/>
      <c r="AD14" s="27" t="s">
        <v>570</v>
      </c>
      <c r="AE14" s="15">
        <f t="shared" si="1"/>
        <v>0</v>
      </c>
      <c r="AF14" s="15">
        <v>1</v>
      </c>
      <c r="AG14" s="5"/>
      <c r="AH14" s="6" t="s">
        <v>84</v>
      </c>
      <c r="AI14" s="5"/>
      <c r="AJ14" s="5"/>
      <c r="AK14" s="5"/>
      <c r="AL14" s="6" t="s">
        <v>260</v>
      </c>
      <c r="AM14" s="83">
        <f>27</f>
        <v>27</v>
      </c>
      <c r="AN14" s="6" t="s">
        <v>84</v>
      </c>
    </row>
    <row r="15" spans="1:40" ht="105" x14ac:dyDescent="0.25">
      <c r="A15" s="59">
        <v>523602</v>
      </c>
      <c r="B15" s="59" t="s">
        <v>3</v>
      </c>
      <c r="C15" s="86" t="s">
        <v>76</v>
      </c>
      <c r="D15" s="87">
        <v>45336</v>
      </c>
      <c r="E15" s="87">
        <v>45498</v>
      </c>
      <c r="F15" s="86" t="s">
        <v>77</v>
      </c>
      <c r="G15" s="87">
        <v>33604</v>
      </c>
      <c r="H15" s="88">
        <f t="shared" si="2"/>
        <v>32</v>
      </c>
      <c r="I15" s="92">
        <v>1</v>
      </c>
      <c r="J15" s="86">
        <v>26</v>
      </c>
      <c r="K15" s="86" t="s">
        <v>30</v>
      </c>
      <c r="L15" s="86" t="s">
        <v>78</v>
      </c>
      <c r="M15" s="86"/>
      <c r="N15" s="86"/>
      <c r="O15" s="103"/>
      <c r="P15" s="89">
        <f>25+2/7</f>
        <v>25.285714285714285</v>
      </c>
      <c r="Q15" s="86">
        <v>3</v>
      </c>
      <c r="R15" s="86">
        <v>0</v>
      </c>
      <c r="S15" s="86" t="s">
        <v>98</v>
      </c>
      <c r="T15" s="5" t="s">
        <v>80</v>
      </c>
      <c r="U15" s="5" t="s">
        <v>95</v>
      </c>
      <c r="V15" s="5" t="s">
        <v>77</v>
      </c>
      <c r="W15" s="5" t="s">
        <v>559</v>
      </c>
      <c r="X15" s="5" t="s">
        <v>82</v>
      </c>
      <c r="Y15" s="5" t="s">
        <v>373</v>
      </c>
      <c r="Z15" s="8" t="s">
        <v>76</v>
      </c>
      <c r="AA15" s="12">
        <v>45570</v>
      </c>
      <c r="AB15" s="80">
        <f>35+4/7</f>
        <v>35.571428571428569</v>
      </c>
      <c r="AC15" s="13" t="s">
        <v>85</v>
      </c>
      <c r="AD15" s="27" t="s">
        <v>576</v>
      </c>
      <c r="AE15" s="15">
        <f t="shared" si="1"/>
        <v>72</v>
      </c>
      <c r="AF15" s="15">
        <v>2</v>
      </c>
      <c r="AG15" s="13" t="s">
        <v>86</v>
      </c>
      <c r="AH15" s="5" t="s">
        <v>84</v>
      </c>
      <c r="AI15" s="13" t="s">
        <v>88</v>
      </c>
      <c r="AJ15" s="5" t="s">
        <v>82</v>
      </c>
      <c r="AK15" s="13" t="s">
        <v>89</v>
      </c>
      <c r="AL15" s="6" t="s">
        <v>343</v>
      </c>
      <c r="AM15" s="83">
        <v>36</v>
      </c>
      <c r="AN15" s="6" t="s">
        <v>4</v>
      </c>
    </row>
    <row r="16" spans="1:40" ht="30" x14ac:dyDescent="0.25">
      <c r="A16" s="57">
        <v>513779</v>
      </c>
      <c r="B16" s="58" t="s">
        <v>23</v>
      </c>
      <c r="C16" s="90" t="s">
        <v>76</v>
      </c>
      <c r="D16" s="87">
        <v>45111</v>
      </c>
      <c r="E16" s="87">
        <v>45294</v>
      </c>
      <c r="F16" s="86" t="s">
        <v>77</v>
      </c>
      <c r="G16" s="87">
        <v>35061</v>
      </c>
      <c r="H16" s="88">
        <f t="shared" si="2"/>
        <v>27</v>
      </c>
      <c r="I16" s="86">
        <v>0</v>
      </c>
      <c r="J16" s="86">
        <v>29</v>
      </c>
      <c r="K16" s="86" t="s">
        <v>30</v>
      </c>
      <c r="L16" s="86" t="s">
        <v>78</v>
      </c>
      <c r="M16" s="86"/>
      <c r="N16" s="86" t="s">
        <v>92</v>
      </c>
      <c r="O16" s="103"/>
      <c r="P16" s="89">
        <f>28+1/7</f>
        <v>28.142857142857142</v>
      </c>
      <c r="Q16" s="86">
        <v>3</v>
      </c>
      <c r="R16" s="86">
        <v>0</v>
      </c>
      <c r="S16" s="86">
        <v>1</v>
      </c>
      <c r="T16" s="5" t="s">
        <v>80</v>
      </c>
      <c r="U16" s="5" t="s">
        <v>165</v>
      </c>
      <c r="V16" s="5" t="s">
        <v>78</v>
      </c>
      <c r="W16" s="5" t="s">
        <v>559</v>
      </c>
      <c r="X16" s="5" t="s">
        <v>82</v>
      </c>
      <c r="Y16" s="5" t="s">
        <v>373</v>
      </c>
      <c r="Z16" s="8" t="s">
        <v>76</v>
      </c>
      <c r="AA16" s="12">
        <v>45356</v>
      </c>
      <c r="AB16" s="80">
        <v>37</v>
      </c>
      <c r="AC16" s="13" t="s">
        <v>220</v>
      </c>
      <c r="AD16" s="27" t="s">
        <v>282</v>
      </c>
      <c r="AE16" s="15">
        <f t="shared" si="1"/>
        <v>62</v>
      </c>
      <c r="AF16" s="5">
        <v>0</v>
      </c>
      <c r="AG16" s="5"/>
      <c r="AH16" s="5" t="s">
        <v>84</v>
      </c>
      <c r="AI16" s="5" t="s">
        <v>210</v>
      </c>
      <c r="AJ16" s="5" t="s">
        <v>82</v>
      </c>
      <c r="AK16" s="5" t="s">
        <v>435</v>
      </c>
      <c r="AL16" s="5" t="s">
        <v>84</v>
      </c>
      <c r="AM16" s="80">
        <f>37+2/7</f>
        <v>37.285714285714285</v>
      </c>
      <c r="AN16" s="5" t="s">
        <v>436</v>
      </c>
    </row>
    <row r="17" spans="1:40" ht="45" x14ac:dyDescent="0.25">
      <c r="A17" s="60">
        <v>523229</v>
      </c>
      <c r="B17" s="58" t="s">
        <v>23</v>
      </c>
      <c r="C17" s="86" t="s">
        <v>76</v>
      </c>
      <c r="D17" s="87">
        <v>45304</v>
      </c>
      <c r="E17" s="87">
        <v>45492</v>
      </c>
      <c r="F17" s="86" t="s">
        <v>77</v>
      </c>
      <c r="G17" s="87">
        <v>32883</v>
      </c>
      <c r="H17" s="88">
        <f t="shared" si="2"/>
        <v>34</v>
      </c>
      <c r="I17" s="86">
        <v>0</v>
      </c>
      <c r="J17" s="86">
        <v>34</v>
      </c>
      <c r="K17" s="86" t="s">
        <v>30</v>
      </c>
      <c r="L17" s="86" t="s">
        <v>78</v>
      </c>
      <c r="M17" s="86" t="s">
        <v>369</v>
      </c>
      <c r="N17" s="86" t="s">
        <v>92</v>
      </c>
      <c r="O17" s="156" t="s">
        <v>397</v>
      </c>
      <c r="P17" s="89">
        <f>28+6/7</f>
        <v>28.857142857142858</v>
      </c>
      <c r="Q17" s="86">
        <v>3</v>
      </c>
      <c r="R17" s="86">
        <v>0</v>
      </c>
      <c r="S17" s="86">
        <v>1</v>
      </c>
      <c r="T17" s="5" t="s">
        <v>80</v>
      </c>
      <c r="U17" s="5" t="s">
        <v>165</v>
      </c>
      <c r="V17" s="5" t="s">
        <v>77</v>
      </c>
      <c r="W17" s="5" t="s">
        <v>559</v>
      </c>
      <c r="X17" s="5" t="s">
        <v>82</v>
      </c>
      <c r="Y17" s="5" t="s">
        <v>373</v>
      </c>
      <c r="Z17" s="8" t="s">
        <v>76</v>
      </c>
      <c r="AA17" s="12">
        <v>45509</v>
      </c>
      <c r="AB17" s="80">
        <f>30+5/7</f>
        <v>30.714285714285715</v>
      </c>
      <c r="AC17" s="6"/>
      <c r="AD17" s="13" t="s">
        <v>419</v>
      </c>
      <c r="AE17" s="15">
        <f t="shared" si="1"/>
        <v>17</v>
      </c>
      <c r="AF17" s="5">
        <v>1</v>
      </c>
      <c r="AG17" s="13" t="s">
        <v>420</v>
      </c>
      <c r="AH17" s="5" t="s">
        <v>84</v>
      </c>
      <c r="AI17" s="5" t="s">
        <v>210</v>
      </c>
      <c r="AJ17" s="5" t="s">
        <v>82</v>
      </c>
      <c r="AK17" s="5" t="s">
        <v>373</v>
      </c>
      <c r="AL17" s="5" t="s">
        <v>260</v>
      </c>
      <c r="AM17" s="80">
        <f>30+6/7</f>
        <v>30.857142857142858</v>
      </c>
      <c r="AN17" s="5" t="s">
        <v>260</v>
      </c>
    </row>
    <row r="18" spans="1:40" ht="60" x14ac:dyDescent="0.25">
      <c r="A18" s="64">
        <v>527855</v>
      </c>
      <c r="B18" s="6" t="s">
        <v>7</v>
      </c>
      <c r="C18" s="86" t="s">
        <v>76</v>
      </c>
      <c r="D18" s="106">
        <v>45391</v>
      </c>
      <c r="E18" s="87">
        <v>45590</v>
      </c>
      <c r="F18" s="86" t="s">
        <v>77</v>
      </c>
      <c r="G18" s="87">
        <v>30469</v>
      </c>
      <c r="H18" s="88">
        <f t="shared" si="2"/>
        <v>40</v>
      </c>
      <c r="I18" s="86">
        <v>3</v>
      </c>
      <c r="J18" s="86">
        <v>31</v>
      </c>
      <c r="K18" s="86" t="s">
        <v>30</v>
      </c>
      <c r="L18" s="86" t="s">
        <v>78</v>
      </c>
      <c r="M18" s="86" t="s">
        <v>4</v>
      </c>
      <c r="N18" s="86"/>
      <c r="O18" s="103"/>
      <c r="P18" s="89">
        <f>30+3/7</f>
        <v>30.428571428571427</v>
      </c>
      <c r="Q18" s="86">
        <v>3</v>
      </c>
      <c r="R18" s="86">
        <v>1</v>
      </c>
      <c r="S18" s="86" t="s">
        <v>98</v>
      </c>
      <c r="T18" s="5" t="s">
        <v>80</v>
      </c>
      <c r="U18" s="5" t="s">
        <v>165</v>
      </c>
      <c r="V18" s="5" t="s">
        <v>77</v>
      </c>
      <c r="W18" s="5" t="s">
        <v>559</v>
      </c>
      <c r="X18" s="5" t="s">
        <v>82</v>
      </c>
      <c r="Y18" s="5" t="s">
        <v>373</v>
      </c>
      <c r="Z18" s="8" t="s">
        <v>76</v>
      </c>
      <c r="AA18" s="12">
        <v>45605</v>
      </c>
      <c r="AB18" s="80">
        <f>32+4/7</f>
        <v>32.571428571428569</v>
      </c>
      <c r="AC18" s="5"/>
      <c r="AD18" s="5" t="s">
        <v>330</v>
      </c>
      <c r="AE18" s="15">
        <f t="shared" si="1"/>
        <v>15</v>
      </c>
      <c r="AF18" s="15">
        <v>2</v>
      </c>
      <c r="AG18" s="13" t="s">
        <v>331</v>
      </c>
      <c r="AH18" s="5" t="s">
        <v>80</v>
      </c>
      <c r="AI18" s="5" t="s">
        <v>94</v>
      </c>
      <c r="AJ18" s="5" t="s">
        <v>82</v>
      </c>
      <c r="AK18" s="5" t="s">
        <v>83</v>
      </c>
      <c r="AL18" s="5" t="s">
        <v>332</v>
      </c>
      <c r="AM18" s="80">
        <f>32+5/7</f>
        <v>32.714285714285715</v>
      </c>
      <c r="AN18" s="5" t="s">
        <v>332</v>
      </c>
    </row>
    <row r="19" spans="1:40" ht="45" x14ac:dyDescent="0.25">
      <c r="A19" s="60">
        <v>493806</v>
      </c>
      <c r="B19" s="58" t="s">
        <v>23</v>
      </c>
      <c r="C19" s="90" t="s">
        <v>76</v>
      </c>
      <c r="D19" s="87">
        <v>45259</v>
      </c>
      <c r="E19" s="87">
        <v>45459</v>
      </c>
      <c r="F19" s="86" t="s">
        <v>77</v>
      </c>
      <c r="G19" s="87">
        <v>32745</v>
      </c>
      <c r="H19" s="88">
        <f t="shared" si="2"/>
        <v>34</v>
      </c>
      <c r="I19" s="86">
        <v>3</v>
      </c>
      <c r="J19" s="86">
        <v>42</v>
      </c>
      <c r="K19" s="86" t="s">
        <v>30</v>
      </c>
      <c r="L19" s="86" t="s">
        <v>78</v>
      </c>
      <c r="M19" s="86" t="s">
        <v>76</v>
      </c>
      <c r="N19" s="86"/>
      <c r="O19" s="86" t="s">
        <v>397</v>
      </c>
      <c r="P19" s="89">
        <f>30+4/7</f>
        <v>30.571428571428573</v>
      </c>
      <c r="Q19" s="86">
        <v>3</v>
      </c>
      <c r="R19" s="86">
        <v>0</v>
      </c>
      <c r="S19" s="86">
        <v>1</v>
      </c>
      <c r="T19" s="5" t="s">
        <v>80</v>
      </c>
      <c r="U19" s="5" t="s">
        <v>165</v>
      </c>
      <c r="V19" s="5" t="s">
        <v>77</v>
      </c>
      <c r="W19" s="5" t="s">
        <v>559</v>
      </c>
      <c r="X19" s="5" t="s">
        <v>82</v>
      </c>
      <c r="Y19" s="5" t="s">
        <v>373</v>
      </c>
      <c r="Z19" s="8" t="s">
        <v>76</v>
      </c>
      <c r="AA19" s="12">
        <v>45480</v>
      </c>
      <c r="AB19" s="80">
        <f>33+1/7</f>
        <v>33.142857142857146</v>
      </c>
      <c r="AC19" s="5"/>
      <c r="AD19" s="13" t="s">
        <v>577</v>
      </c>
      <c r="AE19" s="15">
        <f t="shared" si="1"/>
        <v>21</v>
      </c>
      <c r="AF19" s="5">
        <v>2</v>
      </c>
      <c r="AG19" s="13" t="s">
        <v>439</v>
      </c>
      <c r="AH19" s="5" t="s">
        <v>80</v>
      </c>
      <c r="AI19" s="5" t="s">
        <v>94</v>
      </c>
      <c r="AJ19" s="5" t="s">
        <v>82</v>
      </c>
      <c r="AK19" s="5" t="s">
        <v>423</v>
      </c>
      <c r="AL19" s="5" t="s">
        <v>134</v>
      </c>
      <c r="AM19" s="80">
        <f>34+5/7</f>
        <v>34.714285714285715</v>
      </c>
      <c r="AN19" s="5"/>
    </row>
    <row r="20" spans="1:40" x14ac:dyDescent="0.25">
      <c r="A20" s="57">
        <v>518975</v>
      </c>
      <c r="B20" s="58" t="s">
        <v>23</v>
      </c>
      <c r="C20" s="86" t="s">
        <v>76</v>
      </c>
      <c r="D20" s="87">
        <v>45224</v>
      </c>
      <c r="E20" s="87">
        <v>45451</v>
      </c>
      <c r="F20" s="86" t="s">
        <v>77</v>
      </c>
      <c r="G20" s="87">
        <v>30940</v>
      </c>
      <c r="H20" s="88">
        <f t="shared" si="2"/>
        <v>39</v>
      </c>
      <c r="I20" s="86">
        <v>2</v>
      </c>
      <c r="J20" s="86">
        <v>28</v>
      </c>
      <c r="K20" s="86" t="s">
        <v>30</v>
      </c>
      <c r="L20" s="86" t="s">
        <v>78</v>
      </c>
      <c r="M20" s="86" t="s">
        <v>509</v>
      </c>
      <c r="N20" s="86"/>
      <c r="O20" s="86" t="s">
        <v>84</v>
      </c>
      <c r="P20" s="89">
        <f>34+3/7</f>
        <v>34.428571428571431</v>
      </c>
      <c r="Q20" s="86">
        <v>3</v>
      </c>
      <c r="R20" s="86">
        <v>0</v>
      </c>
      <c r="S20" s="86">
        <v>1</v>
      </c>
      <c r="T20" s="5" t="s">
        <v>84</v>
      </c>
      <c r="U20" s="5" t="s">
        <v>165</v>
      </c>
      <c r="V20" s="5" t="s">
        <v>78</v>
      </c>
      <c r="W20" s="5" t="s">
        <v>559</v>
      </c>
      <c r="X20" s="5" t="s">
        <v>82</v>
      </c>
      <c r="Y20" s="5" t="s">
        <v>373</v>
      </c>
      <c r="Z20" s="8" t="s">
        <v>76</v>
      </c>
      <c r="AA20" s="12">
        <v>45471</v>
      </c>
      <c r="AB20" s="80">
        <f>37+2/7</f>
        <v>37.285714285714285</v>
      </c>
      <c r="AC20" s="5"/>
      <c r="AD20" s="5" t="s">
        <v>134</v>
      </c>
      <c r="AE20" s="15">
        <f t="shared" si="1"/>
        <v>20</v>
      </c>
      <c r="AF20" s="5">
        <v>0</v>
      </c>
      <c r="AG20" s="5"/>
      <c r="AH20" s="5" t="s">
        <v>84</v>
      </c>
      <c r="AI20" s="5" t="s">
        <v>210</v>
      </c>
      <c r="AJ20" s="5" t="s">
        <v>82</v>
      </c>
      <c r="AK20" s="5" t="s">
        <v>373</v>
      </c>
      <c r="AL20" s="5" t="s">
        <v>134</v>
      </c>
      <c r="AM20" s="80">
        <f>37+2/7</f>
        <v>37.285714285714285</v>
      </c>
      <c r="AN20" s="5"/>
    </row>
    <row r="21" spans="1:40" ht="30" x14ac:dyDescent="0.25">
      <c r="A21" s="57">
        <v>480470</v>
      </c>
      <c r="B21" s="6" t="s">
        <v>7</v>
      </c>
      <c r="C21" s="46" t="s">
        <v>5</v>
      </c>
      <c r="D21" s="84">
        <v>45201</v>
      </c>
      <c r="E21" s="84">
        <v>45432</v>
      </c>
      <c r="F21" s="8" t="s">
        <v>77</v>
      </c>
      <c r="G21" s="84">
        <v>33972</v>
      </c>
      <c r="H21" s="21">
        <f t="shared" si="2"/>
        <v>30</v>
      </c>
      <c r="I21" s="8">
        <v>1</v>
      </c>
      <c r="J21" s="8">
        <v>28</v>
      </c>
      <c r="K21" s="8" t="s">
        <v>30</v>
      </c>
      <c r="L21" s="8" t="s">
        <v>78</v>
      </c>
      <c r="M21" s="46" t="s">
        <v>220</v>
      </c>
      <c r="N21" s="8" t="s">
        <v>92</v>
      </c>
      <c r="O21" s="8"/>
      <c r="P21" s="81">
        <v>35</v>
      </c>
      <c r="Q21" s="8">
        <v>3</v>
      </c>
      <c r="R21" s="8">
        <v>1</v>
      </c>
      <c r="S21" s="8" t="s">
        <v>98</v>
      </c>
      <c r="T21" s="5" t="s">
        <v>80</v>
      </c>
      <c r="U21" s="5" t="s">
        <v>165</v>
      </c>
      <c r="V21" s="5" t="s">
        <v>78</v>
      </c>
      <c r="W21" s="5" t="s">
        <v>559</v>
      </c>
      <c r="X21" s="6" t="s">
        <v>82</v>
      </c>
      <c r="Y21" s="5" t="s">
        <v>373</v>
      </c>
      <c r="Z21" s="8" t="s">
        <v>76</v>
      </c>
      <c r="AA21" s="12">
        <v>45463</v>
      </c>
      <c r="AB21" s="80">
        <f>39+3/7</f>
        <v>39.428571428571431</v>
      </c>
      <c r="AC21" s="5"/>
      <c r="AD21" s="5" t="s">
        <v>207</v>
      </c>
      <c r="AE21" s="15">
        <f t="shared" si="1"/>
        <v>31</v>
      </c>
      <c r="AF21" s="15">
        <v>0</v>
      </c>
      <c r="AG21" s="5"/>
      <c r="AH21" s="5" t="s">
        <v>80</v>
      </c>
      <c r="AI21" s="13" t="s">
        <v>107</v>
      </c>
      <c r="AJ21" s="6" t="s">
        <v>82</v>
      </c>
      <c r="AK21" s="6" t="s">
        <v>83</v>
      </c>
      <c r="AL21" s="5" t="s">
        <v>207</v>
      </c>
      <c r="AM21" s="80">
        <f>39+5/7</f>
        <v>39.714285714285715</v>
      </c>
      <c r="AN21" s="5" t="s">
        <v>39</v>
      </c>
    </row>
    <row r="22" spans="1:40" x14ac:dyDescent="0.25">
      <c r="A22" s="57">
        <v>514593</v>
      </c>
      <c r="B22" s="58" t="s">
        <v>23</v>
      </c>
      <c r="C22" s="86" t="s">
        <v>76</v>
      </c>
      <c r="D22" s="87">
        <v>45107</v>
      </c>
      <c r="E22" s="87">
        <v>45351</v>
      </c>
      <c r="F22" s="86" t="s">
        <v>77</v>
      </c>
      <c r="G22" s="87">
        <v>31708</v>
      </c>
      <c r="H22" s="88">
        <f t="shared" si="2"/>
        <v>36</v>
      </c>
      <c r="I22" s="86">
        <v>1</v>
      </c>
      <c r="J22" s="86">
        <v>33</v>
      </c>
      <c r="K22" s="86" t="s">
        <v>30</v>
      </c>
      <c r="L22" s="86" t="s">
        <v>78</v>
      </c>
      <c r="M22" s="90" t="s">
        <v>76</v>
      </c>
      <c r="N22" s="86" t="s">
        <v>92</v>
      </c>
      <c r="O22" s="86"/>
      <c r="P22" s="89">
        <f>36+6/7</f>
        <v>36.857142857142854</v>
      </c>
      <c r="Q22" s="86">
        <v>3</v>
      </c>
      <c r="R22" s="86">
        <v>0</v>
      </c>
      <c r="S22" s="86">
        <v>1</v>
      </c>
      <c r="T22" s="5" t="s">
        <v>84</v>
      </c>
      <c r="U22" s="5" t="s">
        <v>165</v>
      </c>
      <c r="V22" s="5" t="s">
        <v>78</v>
      </c>
      <c r="W22" s="5" t="s">
        <v>559</v>
      </c>
      <c r="X22" s="5" t="s">
        <v>82</v>
      </c>
      <c r="Y22" s="5" t="s">
        <v>373</v>
      </c>
      <c r="Z22" s="8" t="s">
        <v>76</v>
      </c>
      <c r="AA22" s="12">
        <v>45364</v>
      </c>
      <c r="AB22" s="80">
        <f>38+6/7</f>
        <v>38.857142857142854</v>
      </c>
      <c r="AC22" s="5"/>
      <c r="AD22" s="5" t="s">
        <v>207</v>
      </c>
      <c r="AE22" s="15">
        <f t="shared" si="1"/>
        <v>13</v>
      </c>
      <c r="AF22" s="5">
        <v>0</v>
      </c>
      <c r="AG22" s="5"/>
      <c r="AH22" s="5" t="s">
        <v>84</v>
      </c>
      <c r="AI22" s="5" t="s">
        <v>210</v>
      </c>
      <c r="AJ22" s="5" t="s">
        <v>82</v>
      </c>
      <c r="AK22" s="5" t="s">
        <v>373</v>
      </c>
      <c r="AL22" s="5" t="s">
        <v>207</v>
      </c>
      <c r="AM22" s="80">
        <v>39</v>
      </c>
      <c r="AN22" s="5"/>
    </row>
    <row r="23" spans="1:40" x14ac:dyDescent="0.25">
      <c r="A23" s="57">
        <v>481813</v>
      </c>
      <c r="B23" s="58" t="s">
        <v>23</v>
      </c>
      <c r="C23" s="86" t="s">
        <v>76</v>
      </c>
      <c r="D23" s="87">
        <v>45204</v>
      </c>
      <c r="E23" s="87">
        <v>45358</v>
      </c>
      <c r="F23" s="86" t="s">
        <v>77</v>
      </c>
      <c r="G23" s="87">
        <v>30282</v>
      </c>
      <c r="H23" s="88">
        <f t="shared" si="2"/>
        <v>40</v>
      </c>
      <c r="I23" s="86">
        <v>3</v>
      </c>
      <c r="J23" s="86">
        <v>37</v>
      </c>
      <c r="K23" s="86" t="s">
        <v>30</v>
      </c>
      <c r="L23" s="86" t="s">
        <v>78</v>
      </c>
      <c r="M23" s="86"/>
      <c r="N23" s="86" t="s">
        <v>92</v>
      </c>
      <c r="O23" s="86"/>
      <c r="P23" s="89">
        <f>37+1/7</f>
        <v>37.142857142857146</v>
      </c>
      <c r="Q23" s="86">
        <v>3</v>
      </c>
      <c r="R23" s="86">
        <v>0</v>
      </c>
      <c r="S23" s="86">
        <v>1</v>
      </c>
      <c r="T23" s="5" t="s">
        <v>80</v>
      </c>
      <c r="U23" s="5" t="s">
        <v>165</v>
      </c>
      <c r="V23" s="5" t="s">
        <v>78</v>
      </c>
      <c r="W23" s="5" t="s">
        <v>559</v>
      </c>
      <c r="X23" s="5" t="s">
        <v>82</v>
      </c>
      <c r="Y23" s="5" t="s">
        <v>373</v>
      </c>
      <c r="Z23" s="8" t="s">
        <v>76</v>
      </c>
      <c r="AA23" s="12">
        <v>45454</v>
      </c>
      <c r="AB23" s="80">
        <f>37+5/7</f>
        <v>37.714285714285715</v>
      </c>
      <c r="AC23" s="5" t="s">
        <v>4</v>
      </c>
      <c r="AD23" s="27" t="s">
        <v>282</v>
      </c>
      <c r="AE23" s="15">
        <f t="shared" si="1"/>
        <v>96</v>
      </c>
      <c r="AF23" s="5">
        <v>1</v>
      </c>
      <c r="AG23" s="5"/>
      <c r="AH23" s="5" t="s">
        <v>80</v>
      </c>
      <c r="AI23" s="5" t="s">
        <v>334</v>
      </c>
      <c r="AJ23" s="5" t="s">
        <v>82</v>
      </c>
      <c r="AK23" s="5" t="s">
        <v>423</v>
      </c>
      <c r="AL23" s="5" t="s">
        <v>4</v>
      </c>
      <c r="AM23" s="80">
        <f>37+5/7</f>
        <v>37.714285714285715</v>
      </c>
      <c r="AN23" s="5" t="s">
        <v>4</v>
      </c>
    </row>
    <row r="24" spans="1:40" ht="45" x14ac:dyDescent="0.25">
      <c r="A24" s="60">
        <v>521049</v>
      </c>
      <c r="B24" s="6" t="s">
        <v>7</v>
      </c>
      <c r="C24" s="90" t="s">
        <v>76</v>
      </c>
      <c r="D24" s="87">
        <v>45245</v>
      </c>
      <c r="E24" s="87">
        <v>45450</v>
      </c>
      <c r="F24" s="86" t="s">
        <v>77</v>
      </c>
      <c r="G24" s="87">
        <v>33507</v>
      </c>
      <c r="H24" s="88">
        <f t="shared" si="2"/>
        <v>32</v>
      </c>
      <c r="I24" s="86">
        <v>1</v>
      </c>
      <c r="J24" s="86">
        <v>31</v>
      </c>
      <c r="K24" s="86" t="s">
        <v>30</v>
      </c>
      <c r="L24" s="86" t="s">
        <v>78</v>
      </c>
      <c r="M24" s="86"/>
      <c r="N24" s="86"/>
      <c r="O24" s="90" t="s">
        <v>238</v>
      </c>
      <c r="P24" s="89">
        <f>31+2/7</f>
        <v>31.285714285714285</v>
      </c>
      <c r="Q24" s="86">
        <v>5</v>
      </c>
      <c r="R24" s="86">
        <v>2</v>
      </c>
      <c r="S24" s="86" t="s">
        <v>102</v>
      </c>
      <c r="T24" s="5" t="s">
        <v>84</v>
      </c>
      <c r="U24" s="5" t="s">
        <v>165</v>
      </c>
      <c r="V24" s="5" t="s">
        <v>77</v>
      </c>
      <c r="W24" s="5" t="s">
        <v>559</v>
      </c>
      <c r="X24" s="5" t="s">
        <v>82</v>
      </c>
      <c r="Y24" s="5" t="s">
        <v>373</v>
      </c>
      <c r="Z24" s="8" t="s">
        <v>6</v>
      </c>
      <c r="AA24" s="12">
        <v>45453</v>
      </c>
      <c r="AB24" s="80">
        <f>31+5/7</f>
        <v>31.714285714285715</v>
      </c>
      <c r="AC24" s="5" t="s">
        <v>233</v>
      </c>
      <c r="AD24" s="5" t="s">
        <v>566</v>
      </c>
      <c r="AE24" s="15">
        <f t="shared" si="1"/>
        <v>3</v>
      </c>
      <c r="AF24" s="15">
        <v>0</v>
      </c>
      <c r="AG24" s="13" t="s">
        <v>239</v>
      </c>
      <c r="AH24" s="5" t="s">
        <v>84</v>
      </c>
      <c r="AI24" s="5" t="s">
        <v>94</v>
      </c>
      <c r="AJ24" s="5" t="s">
        <v>82</v>
      </c>
      <c r="AK24" s="5" t="s">
        <v>240</v>
      </c>
      <c r="AL24" s="6" t="s">
        <v>4</v>
      </c>
      <c r="AM24" s="83">
        <f>31+6/7</f>
        <v>31.857142857142858</v>
      </c>
      <c r="AN24" s="6" t="s">
        <v>4</v>
      </c>
    </row>
    <row r="25" spans="1:40" x14ac:dyDescent="0.25">
      <c r="A25" s="60">
        <v>528319</v>
      </c>
      <c r="B25" s="6" t="s">
        <v>7</v>
      </c>
      <c r="C25" s="40" t="s">
        <v>4</v>
      </c>
      <c r="D25" s="52">
        <v>45377</v>
      </c>
      <c r="E25" s="52">
        <v>45605</v>
      </c>
      <c r="F25" s="51" t="s">
        <v>77</v>
      </c>
      <c r="G25" s="52">
        <v>32693</v>
      </c>
      <c r="H25" s="39">
        <f t="shared" si="2"/>
        <v>34</v>
      </c>
      <c r="I25" s="51">
        <v>0</v>
      </c>
      <c r="J25" s="51">
        <v>33</v>
      </c>
      <c r="K25" s="51" t="s">
        <v>30</v>
      </c>
      <c r="L25" s="51" t="s">
        <v>78</v>
      </c>
      <c r="M25" s="51"/>
      <c r="N25" s="51"/>
      <c r="O25" s="51" t="s">
        <v>84</v>
      </c>
      <c r="P25" s="85">
        <f>34+4/7</f>
        <v>34.571428571428569</v>
      </c>
      <c r="Q25" s="51">
        <v>7</v>
      </c>
      <c r="R25" s="51">
        <v>1</v>
      </c>
      <c r="S25" s="51" t="s">
        <v>98</v>
      </c>
      <c r="T25" s="5" t="s">
        <v>84</v>
      </c>
      <c r="U25" s="5" t="s">
        <v>165</v>
      </c>
      <c r="V25" s="5" t="s">
        <v>77</v>
      </c>
      <c r="W25" s="5" t="s">
        <v>559</v>
      </c>
      <c r="X25" s="5" t="s">
        <v>82</v>
      </c>
      <c r="Y25" s="5" t="s">
        <v>373</v>
      </c>
      <c r="Z25" s="46" t="s">
        <v>76</v>
      </c>
      <c r="AA25" s="12">
        <v>45610</v>
      </c>
      <c r="AB25" s="80">
        <f>35+3/7</f>
        <v>35.428571428571431</v>
      </c>
      <c r="AC25" s="5"/>
      <c r="AD25" s="5" t="s">
        <v>387</v>
      </c>
      <c r="AE25" s="15">
        <f t="shared" si="1"/>
        <v>5</v>
      </c>
      <c r="AF25" s="15">
        <v>0</v>
      </c>
      <c r="AG25" s="5"/>
      <c r="AH25" s="5" t="s">
        <v>84</v>
      </c>
      <c r="AI25" s="5" t="s">
        <v>94</v>
      </c>
      <c r="AJ25" s="5" t="s">
        <v>82</v>
      </c>
      <c r="AK25" s="5" t="s">
        <v>83</v>
      </c>
      <c r="AL25" s="5" t="s">
        <v>207</v>
      </c>
      <c r="AM25" s="80">
        <f>35+4/7</f>
        <v>35.571428571428569</v>
      </c>
      <c r="AN25" s="5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8CA24-AC91-45CE-90B3-6D0DB6AD2DF3}">
  <dimension ref="A1:AP116"/>
  <sheetViews>
    <sheetView workbookViewId="0">
      <pane ySplit="1" topLeftCell="A74" activePane="bottomLeft" state="frozen"/>
      <selection pane="bottomLeft" activeCell="T92" sqref="T92"/>
    </sheetView>
  </sheetViews>
  <sheetFormatPr baseColWidth="10" defaultRowHeight="15" x14ac:dyDescent="0.25"/>
  <sheetData>
    <row r="1" spans="1:42" ht="90" x14ac:dyDescent="0.25">
      <c r="A1" s="28" t="s">
        <v>0</v>
      </c>
      <c r="B1" s="18" t="s">
        <v>1</v>
      </c>
      <c r="C1" s="18" t="s">
        <v>36</v>
      </c>
      <c r="D1" s="18" t="s">
        <v>40</v>
      </c>
      <c r="E1" s="18" t="s">
        <v>2</v>
      </c>
      <c r="F1" s="18" t="s">
        <v>37</v>
      </c>
      <c r="G1" s="19" t="s">
        <v>29</v>
      </c>
      <c r="H1" s="19" t="s">
        <v>126</v>
      </c>
      <c r="I1" s="19" t="s">
        <v>11</v>
      </c>
      <c r="J1" s="19" t="s">
        <v>12</v>
      </c>
      <c r="K1" s="19" t="s">
        <v>13</v>
      </c>
      <c r="L1" s="19" t="s">
        <v>35</v>
      </c>
      <c r="M1" s="19" t="s">
        <v>14</v>
      </c>
      <c r="N1" s="19" t="s">
        <v>15</v>
      </c>
      <c r="O1" s="20" t="s">
        <v>38</v>
      </c>
      <c r="P1" s="20" t="s">
        <v>16</v>
      </c>
      <c r="Q1" s="20" t="s">
        <v>17</v>
      </c>
      <c r="R1" s="20" t="s">
        <v>18</v>
      </c>
      <c r="S1" s="21" t="s">
        <v>25</v>
      </c>
      <c r="T1" s="22" t="s">
        <v>33</v>
      </c>
      <c r="U1" s="22" t="s">
        <v>75</v>
      </c>
      <c r="V1" s="21" t="s">
        <v>26</v>
      </c>
      <c r="W1" s="21" t="s">
        <v>27</v>
      </c>
      <c r="X1" s="21" t="s">
        <v>28</v>
      </c>
      <c r="Y1" s="21" t="s">
        <v>34</v>
      </c>
      <c r="Z1" s="23" t="s">
        <v>32</v>
      </c>
      <c r="AA1" s="23" t="s">
        <v>19</v>
      </c>
      <c r="AB1" s="23" t="s">
        <v>20</v>
      </c>
      <c r="AC1" s="23" t="s">
        <v>21</v>
      </c>
      <c r="AD1" s="23" t="s">
        <v>22</v>
      </c>
      <c r="AE1" s="38" t="s">
        <v>255</v>
      </c>
      <c r="AF1" s="38" t="s">
        <v>256</v>
      </c>
      <c r="AG1" s="23" t="s">
        <v>41</v>
      </c>
      <c r="AH1" s="23" t="s">
        <v>26</v>
      </c>
      <c r="AI1" s="23" t="s">
        <v>31</v>
      </c>
      <c r="AJ1" s="23" t="s">
        <v>91</v>
      </c>
      <c r="AK1" s="15"/>
      <c r="AL1" s="23" t="s">
        <v>97</v>
      </c>
      <c r="AM1" s="15"/>
      <c r="AN1" s="39" t="s">
        <v>254</v>
      </c>
      <c r="AO1" s="39" t="s">
        <v>265</v>
      </c>
      <c r="AP1" s="39" t="s">
        <v>257</v>
      </c>
    </row>
    <row r="2" spans="1:42" ht="45" x14ac:dyDescent="0.25">
      <c r="A2" s="34">
        <v>155478</v>
      </c>
      <c r="B2" s="10" t="s">
        <v>23</v>
      </c>
      <c r="C2" s="5" t="s">
        <v>39</v>
      </c>
      <c r="D2" s="12">
        <v>45239</v>
      </c>
      <c r="E2" s="12">
        <v>45421</v>
      </c>
      <c r="F2" s="5" t="s">
        <v>77</v>
      </c>
      <c r="G2" s="12">
        <v>30729</v>
      </c>
      <c r="H2" s="15">
        <f>DATEDIF(G2,D2,"Y")</f>
        <v>39</v>
      </c>
      <c r="I2" s="5">
        <v>2</v>
      </c>
      <c r="J2" s="5">
        <v>38</v>
      </c>
      <c r="K2" s="5" t="s">
        <v>30</v>
      </c>
      <c r="L2" s="5" t="s">
        <v>78</v>
      </c>
      <c r="M2" s="13" t="s">
        <v>467</v>
      </c>
      <c r="N2" s="5"/>
      <c r="O2" s="5">
        <v>28</v>
      </c>
      <c r="P2" s="5">
        <v>3</v>
      </c>
      <c r="Q2" s="5">
        <v>0</v>
      </c>
      <c r="R2" s="5">
        <v>1</v>
      </c>
      <c r="S2" s="5" t="s">
        <v>80</v>
      </c>
      <c r="T2" s="5" t="s">
        <v>95</v>
      </c>
      <c r="U2" s="5" t="s">
        <v>78</v>
      </c>
      <c r="V2" s="13" t="s">
        <v>468</v>
      </c>
      <c r="W2" s="5" t="s">
        <v>469</v>
      </c>
      <c r="X2" s="5" t="s">
        <v>470</v>
      </c>
      <c r="Y2" s="8" t="s">
        <v>233</v>
      </c>
      <c r="Z2" s="12">
        <v>45428</v>
      </c>
      <c r="AA2" s="5">
        <v>29</v>
      </c>
      <c r="AB2" s="5" t="s">
        <v>472</v>
      </c>
      <c r="AC2" s="5" t="s">
        <v>234</v>
      </c>
      <c r="AD2" s="15">
        <f t="shared" ref="AD2:AD33" si="0">DATEDIF(E2,Z2,"D")</f>
        <v>7</v>
      </c>
      <c r="AE2" s="5">
        <v>1</v>
      </c>
      <c r="AF2" s="5"/>
      <c r="AG2" s="5" t="s">
        <v>80</v>
      </c>
      <c r="AH2" s="13" t="s">
        <v>468</v>
      </c>
      <c r="AI2" s="5" t="s">
        <v>471</v>
      </c>
      <c r="AJ2" s="5" t="s">
        <v>373</v>
      </c>
      <c r="AK2" s="5"/>
      <c r="AL2" s="5"/>
      <c r="AM2" s="5"/>
      <c r="AN2" s="5" t="s">
        <v>328</v>
      </c>
      <c r="AO2" s="5">
        <v>30</v>
      </c>
      <c r="AP2" s="5" t="s">
        <v>4</v>
      </c>
    </row>
    <row r="3" spans="1:42" ht="75" x14ac:dyDescent="0.25">
      <c r="A3" s="34">
        <v>227712</v>
      </c>
      <c r="B3" s="10" t="s">
        <v>23</v>
      </c>
      <c r="C3" s="5" t="s">
        <v>39</v>
      </c>
      <c r="D3" s="12">
        <v>45085</v>
      </c>
      <c r="E3" s="12">
        <v>45267</v>
      </c>
      <c r="F3" s="5" t="s">
        <v>77</v>
      </c>
      <c r="G3" s="12">
        <v>32981</v>
      </c>
      <c r="H3" s="15">
        <f>DATEDIF(G3,D3,"Y")</f>
        <v>33</v>
      </c>
      <c r="I3" s="5">
        <v>0</v>
      </c>
      <c r="J3" s="5">
        <v>34</v>
      </c>
      <c r="K3" s="5" t="s">
        <v>30</v>
      </c>
      <c r="L3" s="5" t="s">
        <v>78</v>
      </c>
      <c r="M3" s="5"/>
      <c r="N3" s="5"/>
      <c r="O3" s="5" t="s">
        <v>421</v>
      </c>
      <c r="P3" s="5">
        <v>2</v>
      </c>
      <c r="Q3" s="5">
        <v>0</v>
      </c>
      <c r="R3" s="5">
        <v>1</v>
      </c>
      <c r="S3" s="5" t="s">
        <v>80</v>
      </c>
      <c r="T3" s="5" t="s">
        <v>165</v>
      </c>
      <c r="U3" s="5" t="s">
        <v>77</v>
      </c>
      <c r="V3" s="13" t="s">
        <v>210</v>
      </c>
      <c r="W3" s="5" t="s">
        <v>82</v>
      </c>
      <c r="X3" s="5" t="s">
        <v>373</v>
      </c>
      <c r="Y3" s="8" t="s">
        <v>76</v>
      </c>
      <c r="Z3" s="12">
        <v>45310</v>
      </c>
      <c r="AA3" s="5" t="s">
        <v>364</v>
      </c>
      <c r="AB3" s="5" t="s">
        <v>4</v>
      </c>
      <c r="AC3" s="5" t="s">
        <v>422</v>
      </c>
      <c r="AD3" s="15">
        <f t="shared" si="0"/>
        <v>43</v>
      </c>
      <c r="AE3" s="5">
        <v>2</v>
      </c>
      <c r="AF3" s="13" t="s">
        <v>424</v>
      </c>
      <c r="AG3" s="5" t="s">
        <v>279</v>
      </c>
      <c r="AH3" s="5" t="s">
        <v>210</v>
      </c>
      <c r="AI3" s="5" t="s">
        <v>82</v>
      </c>
      <c r="AJ3" s="13" t="s">
        <v>423</v>
      </c>
      <c r="AK3" s="5"/>
      <c r="AL3" s="13"/>
      <c r="AM3" s="5"/>
      <c r="AN3" s="5" t="s">
        <v>4</v>
      </c>
      <c r="AO3" s="5" t="s">
        <v>425</v>
      </c>
      <c r="AP3" s="5" t="s">
        <v>260</v>
      </c>
    </row>
    <row r="4" spans="1:42" ht="30" x14ac:dyDescent="0.25">
      <c r="A4" s="34">
        <v>248481</v>
      </c>
      <c r="B4" s="10" t="s">
        <v>23</v>
      </c>
      <c r="C4" s="5" t="s">
        <v>76</v>
      </c>
      <c r="D4" s="12">
        <v>45563</v>
      </c>
      <c r="E4" s="12">
        <v>45378</v>
      </c>
      <c r="F4" s="5" t="s">
        <v>77</v>
      </c>
      <c r="G4" s="12">
        <v>31114</v>
      </c>
      <c r="H4" s="15">
        <f>DATEDIF(G4,D4,"Y")</f>
        <v>39</v>
      </c>
      <c r="I4" s="5">
        <v>1</v>
      </c>
      <c r="J4" s="5">
        <v>33</v>
      </c>
      <c r="K4" s="5" t="s">
        <v>30</v>
      </c>
      <c r="L4" s="5" t="s">
        <v>78</v>
      </c>
      <c r="M4" s="5" t="s">
        <v>65</v>
      </c>
      <c r="N4" s="5"/>
      <c r="O4" s="5" t="s">
        <v>365</v>
      </c>
      <c r="P4" s="5">
        <v>3</v>
      </c>
      <c r="Q4" s="5">
        <v>0</v>
      </c>
      <c r="R4" s="5">
        <v>1</v>
      </c>
      <c r="S4" s="5" t="s">
        <v>80</v>
      </c>
      <c r="T4" s="5" t="s">
        <v>95</v>
      </c>
      <c r="U4" s="5" t="s">
        <v>78</v>
      </c>
      <c r="V4" s="5" t="s">
        <v>94</v>
      </c>
      <c r="W4" s="5" t="s">
        <v>82</v>
      </c>
      <c r="X4" s="5" t="s">
        <v>373</v>
      </c>
      <c r="Y4" s="8" t="s">
        <v>39</v>
      </c>
      <c r="Z4" s="12">
        <v>45429</v>
      </c>
      <c r="AA4" s="5" t="s">
        <v>344</v>
      </c>
      <c r="AB4" s="5" t="s">
        <v>4</v>
      </c>
      <c r="AC4" s="27" t="s">
        <v>444</v>
      </c>
      <c r="AD4" s="15">
        <f t="shared" si="0"/>
        <v>51</v>
      </c>
      <c r="AE4" s="5">
        <v>1</v>
      </c>
      <c r="AF4" s="5"/>
      <c r="AG4" s="5" t="s">
        <v>80</v>
      </c>
      <c r="AH4" s="5" t="s">
        <v>94</v>
      </c>
      <c r="AI4" s="5" t="s">
        <v>82</v>
      </c>
      <c r="AJ4" s="5" t="s">
        <v>373</v>
      </c>
      <c r="AK4" s="5"/>
      <c r="AL4" s="5"/>
      <c r="AM4" s="5"/>
      <c r="AN4" s="6" t="s">
        <v>328</v>
      </c>
      <c r="AO4" s="6" t="s">
        <v>425</v>
      </c>
      <c r="AP4" s="6" t="s">
        <v>4</v>
      </c>
    </row>
    <row r="5" spans="1:42" ht="30" x14ac:dyDescent="0.25">
      <c r="A5" s="1">
        <v>257038</v>
      </c>
      <c r="B5" s="1" t="s">
        <v>3</v>
      </c>
      <c r="C5" s="7" t="s">
        <v>5</v>
      </c>
      <c r="D5" s="12">
        <v>45392</v>
      </c>
      <c r="E5" s="12">
        <v>45558</v>
      </c>
      <c r="F5" s="9" t="s">
        <v>77</v>
      </c>
      <c r="G5" s="14">
        <v>30963</v>
      </c>
      <c r="H5" s="44">
        <f>DATEDIF(G5,D5,"Y")</f>
        <v>39</v>
      </c>
      <c r="I5" s="6">
        <v>2</v>
      </c>
      <c r="J5" s="6">
        <v>24</v>
      </c>
      <c r="K5" s="6" t="s">
        <v>135</v>
      </c>
      <c r="L5" s="6" t="s">
        <v>78</v>
      </c>
      <c r="M5" s="9" t="s">
        <v>6</v>
      </c>
      <c r="N5" s="9" t="s">
        <v>181</v>
      </c>
      <c r="O5" s="2">
        <f>25+5/7</f>
        <v>25.714285714285715</v>
      </c>
      <c r="P5" s="9">
        <v>7</v>
      </c>
      <c r="Q5" s="9">
        <v>0</v>
      </c>
      <c r="R5" s="6" t="s">
        <v>102</v>
      </c>
      <c r="S5" s="6" t="s">
        <v>80</v>
      </c>
      <c r="T5" s="6" t="s">
        <v>95</v>
      </c>
      <c r="U5" s="9" t="s">
        <v>77</v>
      </c>
      <c r="V5" s="9" t="s">
        <v>94</v>
      </c>
      <c r="W5" s="9" t="s">
        <v>82</v>
      </c>
      <c r="X5" s="6" t="s">
        <v>191</v>
      </c>
      <c r="Y5" s="8" t="s">
        <v>179</v>
      </c>
      <c r="Z5" s="12">
        <v>45643</v>
      </c>
      <c r="AA5" s="9">
        <f>37+6/7</f>
        <v>37.857142857142854</v>
      </c>
      <c r="AB5" s="9" t="s">
        <v>78</v>
      </c>
      <c r="AC5" s="27" t="s">
        <v>124</v>
      </c>
      <c r="AD5" s="15">
        <f t="shared" si="0"/>
        <v>85</v>
      </c>
      <c r="AE5" s="15">
        <v>2</v>
      </c>
      <c r="AF5" s="25" t="s">
        <v>196</v>
      </c>
      <c r="AG5" s="6" t="s">
        <v>80</v>
      </c>
      <c r="AH5" s="5" t="s">
        <v>94</v>
      </c>
      <c r="AI5" s="6" t="s">
        <v>197</v>
      </c>
      <c r="AJ5" s="6" t="s">
        <v>83</v>
      </c>
      <c r="AK5" s="5"/>
      <c r="AL5" s="13"/>
      <c r="AM5" s="5"/>
      <c r="AN5" s="5" t="s">
        <v>207</v>
      </c>
      <c r="AO5" s="5" t="s">
        <v>271</v>
      </c>
      <c r="AP5" s="5" t="s">
        <v>4</v>
      </c>
    </row>
    <row r="6" spans="1:42" ht="90" x14ac:dyDescent="0.25">
      <c r="A6" s="34">
        <v>278817</v>
      </c>
      <c r="B6" s="10" t="s">
        <v>23</v>
      </c>
      <c r="C6" s="5" t="s">
        <v>343</v>
      </c>
      <c r="D6" s="12">
        <v>45102</v>
      </c>
      <c r="E6" s="12">
        <v>45329</v>
      </c>
      <c r="F6" s="5" t="s">
        <v>77</v>
      </c>
      <c r="G6" s="12">
        <v>30831</v>
      </c>
      <c r="H6" s="15">
        <f>DATEDIF(G6,E6,"Y")</f>
        <v>39</v>
      </c>
      <c r="I6" s="5">
        <v>5</v>
      </c>
      <c r="J6" s="5">
        <v>35</v>
      </c>
      <c r="K6" s="5" t="s">
        <v>30</v>
      </c>
      <c r="L6" s="5" t="s">
        <v>78</v>
      </c>
      <c r="M6" s="13" t="s">
        <v>426</v>
      </c>
      <c r="N6" s="5" t="s">
        <v>92</v>
      </c>
      <c r="O6" s="5" t="s">
        <v>358</v>
      </c>
      <c r="P6" s="5">
        <v>2</v>
      </c>
      <c r="Q6" s="5">
        <v>0</v>
      </c>
      <c r="R6" s="5">
        <v>1</v>
      </c>
      <c r="S6" s="5" t="s">
        <v>80</v>
      </c>
      <c r="T6" s="5" t="s">
        <v>165</v>
      </c>
      <c r="U6" s="5" t="s">
        <v>78</v>
      </c>
      <c r="V6" s="5" t="s">
        <v>210</v>
      </c>
      <c r="W6" s="5" t="s">
        <v>82</v>
      </c>
      <c r="X6" s="5" t="s">
        <v>373</v>
      </c>
      <c r="Y6" s="8" t="s">
        <v>76</v>
      </c>
      <c r="Z6" s="12">
        <v>45351</v>
      </c>
      <c r="AA6" s="5" t="s">
        <v>394</v>
      </c>
      <c r="AB6" s="5" t="s">
        <v>84</v>
      </c>
      <c r="AC6" s="27" t="s">
        <v>504</v>
      </c>
      <c r="AD6" s="15">
        <f t="shared" si="0"/>
        <v>22</v>
      </c>
      <c r="AE6" s="5">
        <v>1</v>
      </c>
      <c r="AF6" s="27" t="s">
        <v>505</v>
      </c>
      <c r="AG6" s="5" t="s">
        <v>84</v>
      </c>
      <c r="AH6" s="5" t="s">
        <v>210</v>
      </c>
      <c r="AI6" s="5" t="s">
        <v>82</v>
      </c>
      <c r="AJ6" s="5" t="s">
        <v>83</v>
      </c>
      <c r="AK6" s="5"/>
      <c r="AL6" s="13" t="s">
        <v>427</v>
      </c>
      <c r="AM6" s="5"/>
      <c r="AN6" s="6" t="s">
        <v>328</v>
      </c>
      <c r="AO6" s="5" t="s">
        <v>394</v>
      </c>
      <c r="AP6" s="13" t="s">
        <v>506</v>
      </c>
    </row>
    <row r="7" spans="1:42" ht="45" x14ac:dyDescent="0.25">
      <c r="A7" s="34">
        <v>407217</v>
      </c>
      <c r="B7" s="10" t="s">
        <v>23</v>
      </c>
      <c r="C7" s="5" t="s">
        <v>39</v>
      </c>
      <c r="D7" s="12">
        <v>45200</v>
      </c>
      <c r="E7" s="12">
        <v>45384</v>
      </c>
      <c r="F7" s="5" t="s">
        <v>77</v>
      </c>
      <c r="G7" s="12">
        <v>31179</v>
      </c>
      <c r="H7" s="15">
        <f t="shared" ref="H7:H38" si="1">DATEDIF(G7,D7,"Y")</f>
        <v>38</v>
      </c>
      <c r="I7" s="5">
        <v>3</v>
      </c>
      <c r="J7" s="5">
        <v>26</v>
      </c>
      <c r="K7" s="5" t="s">
        <v>30</v>
      </c>
      <c r="L7" s="5" t="s">
        <v>176</v>
      </c>
      <c r="M7" s="5"/>
      <c r="N7" s="5" t="s">
        <v>92</v>
      </c>
      <c r="O7" s="5" t="s">
        <v>374</v>
      </c>
      <c r="P7" s="5">
        <v>2</v>
      </c>
      <c r="Q7" s="5">
        <v>0</v>
      </c>
      <c r="R7" s="5">
        <v>1</v>
      </c>
      <c r="S7" s="5" t="s">
        <v>80</v>
      </c>
      <c r="T7" s="5" t="s">
        <v>95</v>
      </c>
      <c r="U7" s="5" t="s">
        <v>78</v>
      </c>
      <c r="V7" s="5" t="s">
        <v>388</v>
      </c>
      <c r="W7" s="5" t="s">
        <v>82</v>
      </c>
      <c r="X7" s="5" t="s">
        <v>373</v>
      </c>
      <c r="Y7" s="8" t="s">
        <v>39</v>
      </c>
      <c r="Z7" s="12">
        <v>45449</v>
      </c>
      <c r="AA7" s="5" t="s">
        <v>394</v>
      </c>
      <c r="AB7" s="5" t="s">
        <v>78</v>
      </c>
      <c r="AC7" s="5" t="s">
        <v>207</v>
      </c>
      <c r="AD7" s="15">
        <f t="shared" si="0"/>
        <v>65</v>
      </c>
      <c r="AE7" s="5">
        <v>0</v>
      </c>
      <c r="AF7" s="5"/>
      <c r="AG7" s="5" t="s">
        <v>80</v>
      </c>
      <c r="AH7" s="5" t="s">
        <v>388</v>
      </c>
      <c r="AI7" s="13" t="s">
        <v>449</v>
      </c>
      <c r="AJ7" s="5" t="s">
        <v>373</v>
      </c>
      <c r="AK7" s="5"/>
      <c r="AL7" s="5"/>
      <c r="AM7" s="5"/>
      <c r="AN7" s="5" t="s">
        <v>207</v>
      </c>
      <c r="AO7" s="5" t="s">
        <v>271</v>
      </c>
      <c r="AP7" s="5" t="s">
        <v>176</v>
      </c>
    </row>
    <row r="8" spans="1:42" ht="45" x14ac:dyDescent="0.25">
      <c r="A8" s="34">
        <v>408600</v>
      </c>
      <c r="B8" s="10" t="s">
        <v>23</v>
      </c>
      <c r="C8" s="5" t="s">
        <v>39</v>
      </c>
      <c r="D8" s="12">
        <v>45274</v>
      </c>
      <c r="E8" s="12">
        <v>45475</v>
      </c>
      <c r="F8" s="5" t="s">
        <v>77</v>
      </c>
      <c r="G8" s="12">
        <v>31677</v>
      </c>
      <c r="H8" s="15">
        <f t="shared" si="1"/>
        <v>37</v>
      </c>
      <c r="I8" s="5">
        <v>4</v>
      </c>
      <c r="J8" s="5">
        <v>35</v>
      </c>
      <c r="K8" s="5" t="s">
        <v>30</v>
      </c>
      <c r="L8" s="5" t="s">
        <v>78</v>
      </c>
      <c r="M8" s="13" t="s">
        <v>474</v>
      </c>
      <c r="N8" s="5" t="s">
        <v>181</v>
      </c>
      <c r="O8" s="5" t="s">
        <v>418</v>
      </c>
      <c r="P8" s="5">
        <v>2</v>
      </c>
      <c r="Q8" s="5">
        <v>0</v>
      </c>
      <c r="R8" s="5">
        <v>1</v>
      </c>
      <c r="S8" s="5" t="s">
        <v>80</v>
      </c>
      <c r="T8" s="5" t="s">
        <v>95</v>
      </c>
      <c r="U8" s="5" t="s">
        <v>78</v>
      </c>
      <c r="V8" s="5" t="s">
        <v>383</v>
      </c>
      <c r="W8" s="5" t="s">
        <v>82</v>
      </c>
      <c r="X8" s="5" t="s">
        <v>373</v>
      </c>
      <c r="Y8" s="46" t="s">
        <v>39</v>
      </c>
      <c r="Z8" s="12">
        <v>45532</v>
      </c>
      <c r="AA8" s="5" t="s">
        <v>339</v>
      </c>
      <c r="AB8" s="5" t="s">
        <v>78</v>
      </c>
      <c r="AC8" s="5" t="s">
        <v>207</v>
      </c>
      <c r="AD8" s="15">
        <f t="shared" si="0"/>
        <v>57</v>
      </c>
      <c r="AE8" s="5">
        <v>1</v>
      </c>
      <c r="AF8" s="13" t="s">
        <v>473</v>
      </c>
      <c r="AG8" s="5" t="s">
        <v>80</v>
      </c>
      <c r="AH8" s="5" t="s">
        <v>383</v>
      </c>
      <c r="AI8" s="5" t="s">
        <v>82</v>
      </c>
      <c r="AJ8" s="5" t="s">
        <v>373</v>
      </c>
      <c r="AK8" s="5"/>
      <c r="AL8" s="5"/>
      <c r="AM8" s="5"/>
      <c r="AN8" s="5" t="s">
        <v>207</v>
      </c>
      <c r="AO8" s="5">
        <v>39</v>
      </c>
      <c r="AP8" s="5" t="s">
        <v>475</v>
      </c>
    </row>
    <row r="9" spans="1:42" ht="105" x14ac:dyDescent="0.25">
      <c r="A9" s="17">
        <v>411682</v>
      </c>
      <c r="B9" s="10" t="s">
        <v>23</v>
      </c>
      <c r="C9" s="5" t="s">
        <v>76</v>
      </c>
      <c r="D9" s="12">
        <v>45330</v>
      </c>
      <c r="E9" s="12">
        <v>45306</v>
      </c>
      <c r="F9" s="5" t="s">
        <v>77</v>
      </c>
      <c r="G9" s="12">
        <v>30722</v>
      </c>
      <c r="H9" s="15">
        <f t="shared" si="1"/>
        <v>39</v>
      </c>
      <c r="I9" s="5">
        <v>1</v>
      </c>
      <c r="J9" s="5" t="s">
        <v>208</v>
      </c>
      <c r="K9" s="5" t="s">
        <v>30</v>
      </c>
      <c r="L9" s="5" t="s">
        <v>78</v>
      </c>
      <c r="M9" s="13" t="s">
        <v>405</v>
      </c>
      <c r="N9" s="5" t="s">
        <v>92</v>
      </c>
      <c r="O9" s="5" t="s">
        <v>311</v>
      </c>
      <c r="P9" s="5">
        <v>2</v>
      </c>
      <c r="Q9" s="5">
        <v>0</v>
      </c>
      <c r="R9" s="5">
        <v>1</v>
      </c>
      <c r="S9" s="5" t="s">
        <v>80</v>
      </c>
      <c r="T9" s="5" t="s">
        <v>165</v>
      </c>
      <c r="U9" s="5" t="s">
        <v>78</v>
      </c>
      <c r="V9" s="5" t="s">
        <v>210</v>
      </c>
      <c r="W9" s="5" t="s">
        <v>82</v>
      </c>
      <c r="X9" s="5" t="s">
        <v>373</v>
      </c>
      <c r="Y9" s="8" t="s">
        <v>76</v>
      </c>
      <c r="Z9" s="12">
        <v>45310</v>
      </c>
      <c r="AA9" s="5" t="s">
        <v>278</v>
      </c>
      <c r="AB9" s="5"/>
      <c r="AC9" s="5" t="s">
        <v>404</v>
      </c>
      <c r="AD9" s="15">
        <f t="shared" si="0"/>
        <v>4</v>
      </c>
      <c r="AE9" s="5">
        <v>1</v>
      </c>
      <c r="AF9" s="5" t="s">
        <v>134</v>
      </c>
      <c r="AG9" s="5" t="s">
        <v>80</v>
      </c>
      <c r="AH9" s="5" t="s">
        <v>210</v>
      </c>
      <c r="AI9" s="5" t="s">
        <v>82</v>
      </c>
      <c r="AJ9" s="5" t="s">
        <v>373</v>
      </c>
      <c r="AK9" s="5"/>
      <c r="AL9" s="13" t="s">
        <v>403</v>
      </c>
      <c r="AM9" s="5"/>
      <c r="AN9" s="5" t="s">
        <v>134</v>
      </c>
      <c r="AO9" s="5" t="s">
        <v>278</v>
      </c>
      <c r="AP9" s="5"/>
    </row>
    <row r="10" spans="1:42" ht="45" x14ac:dyDescent="0.25">
      <c r="A10" s="1">
        <v>413326</v>
      </c>
      <c r="B10" s="1" t="s">
        <v>3</v>
      </c>
      <c r="C10" s="7" t="s">
        <v>4</v>
      </c>
      <c r="D10" s="12">
        <v>45227</v>
      </c>
      <c r="E10" s="12">
        <v>45461</v>
      </c>
      <c r="F10" s="5" t="s">
        <v>77</v>
      </c>
      <c r="G10" s="14">
        <v>32775</v>
      </c>
      <c r="H10" s="44">
        <f t="shared" si="1"/>
        <v>34</v>
      </c>
      <c r="I10" s="6">
        <v>1</v>
      </c>
      <c r="J10" s="6">
        <v>27</v>
      </c>
      <c r="K10" s="6" t="s">
        <v>30</v>
      </c>
      <c r="L10" s="6" t="s">
        <v>78</v>
      </c>
      <c r="M10" s="13" t="s">
        <v>164</v>
      </c>
      <c r="N10" s="5" t="s">
        <v>78</v>
      </c>
      <c r="O10" s="43">
        <f>35+3/7</f>
        <v>35.428571428571431</v>
      </c>
      <c r="P10" s="5">
        <v>7</v>
      </c>
      <c r="Q10" s="5">
        <v>0</v>
      </c>
      <c r="R10" s="6" t="s">
        <v>102</v>
      </c>
      <c r="S10" s="6" t="s">
        <v>80</v>
      </c>
      <c r="T10" s="6" t="s">
        <v>155</v>
      </c>
      <c r="U10" s="5" t="s">
        <v>77</v>
      </c>
      <c r="V10" s="13" t="s">
        <v>128</v>
      </c>
      <c r="W10" s="26" t="s">
        <v>82</v>
      </c>
      <c r="X10" s="6" t="s">
        <v>189</v>
      </c>
      <c r="Y10" s="8" t="s">
        <v>4</v>
      </c>
      <c r="Z10" s="12">
        <v>45471</v>
      </c>
      <c r="AA10" s="5">
        <f>36+6/7</f>
        <v>36.857142857142854</v>
      </c>
      <c r="AB10" s="5" t="s">
        <v>78</v>
      </c>
      <c r="AC10" s="27" t="s">
        <v>124</v>
      </c>
      <c r="AD10" s="15">
        <f t="shared" si="0"/>
        <v>10</v>
      </c>
      <c r="AE10" s="15">
        <v>0</v>
      </c>
      <c r="AF10" s="5" t="s">
        <v>78</v>
      </c>
      <c r="AG10" s="6" t="s">
        <v>80</v>
      </c>
      <c r="AH10" s="5" t="s">
        <v>94</v>
      </c>
      <c r="AI10" s="6" t="s">
        <v>82</v>
      </c>
      <c r="AJ10" s="6" t="s">
        <v>190</v>
      </c>
      <c r="AK10" s="5"/>
      <c r="AL10" s="5"/>
      <c r="AM10" s="5"/>
      <c r="AN10" s="5" t="s">
        <v>207</v>
      </c>
      <c r="AO10" s="5">
        <v>37</v>
      </c>
      <c r="AP10" s="5" t="s">
        <v>4</v>
      </c>
    </row>
    <row r="11" spans="1:42" ht="60" x14ac:dyDescent="0.25">
      <c r="A11" s="1">
        <v>415784</v>
      </c>
      <c r="B11" s="1" t="s">
        <v>3</v>
      </c>
      <c r="C11" s="7" t="s">
        <v>39</v>
      </c>
      <c r="D11" s="12">
        <v>45147</v>
      </c>
      <c r="E11" s="12">
        <v>45317</v>
      </c>
      <c r="F11" s="5" t="s">
        <v>77</v>
      </c>
      <c r="G11" s="14">
        <v>29569</v>
      </c>
      <c r="H11" s="44">
        <f t="shared" si="1"/>
        <v>42</v>
      </c>
      <c r="I11" s="6">
        <v>3</v>
      </c>
      <c r="J11" s="6">
        <v>26</v>
      </c>
      <c r="K11" s="6" t="s">
        <v>30</v>
      </c>
      <c r="L11" s="6" t="s">
        <v>78</v>
      </c>
      <c r="M11" s="13" t="s">
        <v>143</v>
      </c>
      <c r="N11" s="5" t="s">
        <v>144</v>
      </c>
      <c r="O11" s="2">
        <f>26+2/7</f>
        <v>26.285714285714285</v>
      </c>
      <c r="P11" s="5">
        <v>3</v>
      </c>
      <c r="Q11" s="5">
        <v>0</v>
      </c>
      <c r="R11" s="6" t="s">
        <v>98</v>
      </c>
      <c r="S11" s="6" t="s">
        <v>145</v>
      </c>
      <c r="T11" s="6" t="s">
        <v>95</v>
      </c>
      <c r="U11" s="5" t="s">
        <v>77</v>
      </c>
      <c r="V11" s="13" t="s">
        <v>146</v>
      </c>
      <c r="W11" s="6" t="s">
        <v>82</v>
      </c>
      <c r="X11" s="6" t="s">
        <v>83</v>
      </c>
      <c r="Y11" s="8" t="s">
        <v>39</v>
      </c>
      <c r="Z11" s="12">
        <v>45374</v>
      </c>
      <c r="AA11" s="5">
        <f>34+3/7</f>
        <v>34.428571428571431</v>
      </c>
      <c r="AB11" s="5" t="s">
        <v>78</v>
      </c>
      <c r="AC11" s="27" t="s">
        <v>142</v>
      </c>
      <c r="AD11" s="15">
        <f t="shared" si="0"/>
        <v>57</v>
      </c>
      <c r="AE11" s="15">
        <v>1</v>
      </c>
      <c r="AF11" s="13" t="s">
        <v>147</v>
      </c>
      <c r="AG11" s="6" t="s">
        <v>148</v>
      </c>
      <c r="AH11" s="13" t="s">
        <v>146</v>
      </c>
      <c r="AI11" s="6" t="s">
        <v>82</v>
      </c>
      <c r="AJ11" s="6" t="s">
        <v>83</v>
      </c>
      <c r="AK11" s="5"/>
      <c r="AL11" s="5"/>
      <c r="AM11" s="5"/>
      <c r="AN11" s="6" t="s">
        <v>343</v>
      </c>
      <c r="AO11" s="6" t="s">
        <v>344</v>
      </c>
      <c r="AP11" s="6" t="s">
        <v>343</v>
      </c>
    </row>
    <row r="12" spans="1:42" ht="60" x14ac:dyDescent="0.25">
      <c r="A12" s="34">
        <v>423266</v>
      </c>
      <c r="B12" s="10" t="s">
        <v>23</v>
      </c>
      <c r="C12" s="5" t="s">
        <v>39</v>
      </c>
      <c r="D12" s="12">
        <v>45166</v>
      </c>
      <c r="E12" s="12">
        <v>45382</v>
      </c>
      <c r="F12" s="5" t="s">
        <v>77</v>
      </c>
      <c r="G12" s="12">
        <v>31842</v>
      </c>
      <c r="H12" s="15">
        <f t="shared" si="1"/>
        <v>36</v>
      </c>
      <c r="I12" s="5">
        <v>4</v>
      </c>
      <c r="J12" s="5">
        <v>35</v>
      </c>
      <c r="K12" s="5" t="s">
        <v>30</v>
      </c>
      <c r="L12" s="5" t="s">
        <v>78</v>
      </c>
      <c r="M12" s="5" t="s">
        <v>476</v>
      </c>
      <c r="N12" s="5" t="s">
        <v>78</v>
      </c>
      <c r="O12" s="5" t="s">
        <v>341</v>
      </c>
      <c r="P12" s="5">
        <v>3</v>
      </c>
      <c r="Q12" s="5">
        <v>0</v>
      </c>
      <c r="R12" s="5">
        <v>1</v>
      </c>
      <c r="S12" s="5" t="s">
        <v>80</v>
      </c>
      <c r="T12" s="5" t="s">
        <v>95</v>
      </c>
      <c r="U12" s="5" t="s">
        <v>77</v>
      </c>
      <c r="V12" s="5" t="s">
        <v>334</v>
      </c>
      <c r="W12" s="5" t="s">
        <v>82</v>
      </c>
      <c r="X12" s="5" t="s">
        <v>373</v>
      </c>
      <c r="Y12" s="46" t="s">
        <v>39</v>
      </c>
      <c r="Z12" s="12">
        <v>45383</v>
      </c>
      <c r="AA12" s="5">
        <v>33</v>
      </c>
      <c r="AB12" s="5"/>
      <c r="AC12" s="13" t="s">
        <v>478</v>
      </c>
      <c r="AD12" s="15">
        <f t="shared" si="0"/>
        <v>1</v>
      </c>
      <c r="AE12" s="5">
        <v>1</v>
      </c>
      <c r="AF12" s="13" t="s">
        <v>477</v>
      </c>
      <c r="AG12" s="5"/>
      <c r="AH12" s="5" t="s">
        <v>334</v>
      </c>
      <c r="AI12" s="6" t="s">
        <v>479</v>
      </c>
      <c r="AJ12" s="5" t="s">
        <v>373</v>
      </c>
      <c r="AK12" s="5"/>
      <c r="AL12" s="5"/>
      <c r="AM12" s="5"/>
      <c r="AN12" s="6" t="s">
        <v>328</v>
      </c>
      <c r="AO12" s="6" t="s">
        <v>364</v>
      </c>
      <c r="AP12" s="6" t="s">
        <v>509</v>
      </c>
    </row>
    <row r="13" spans="1:42" x14ac:dyDescent="0.25">
      <c r="A13" s="3">
        <v>423810</v>
      </c>
      <c r="B13" s="9" t="s">
        <v>7</v>
      </c>
      <c r="C13" s="7" t="s">
        <v>6</v>
      </c>
      <c r="D13" s="12">
        <v>45252</v>
      </c>
      <c r="E13" s="12">
        <v>45460</v>
      </c>
      <c r="F13" s="5" t="s">
        <v>77</v>
      </c>
      <c r="G13" s="12">
        <v>33135</v>
      </c>
      <c r="H13" s="15">
        <f t="shared" si="1"/>
        <v>33</v>
      </c>
      <c r="I13" s="5">
        <v>1</v>
      </c>
      <c r="J13" s="5">
        <v>38</v>
      </c>
      <c r="K13" s="5" t="s">
        <v>30</v>
      </c>
      <c r="L13" s="5" t="s">
        <v>78</v>
      </c>
      <c r="M13" s="5"/>
      <c r="N13" s="5"/>
      <c r="O13" s="5" t="s">
        <v>232</v>
      </c>
      <c r="P13" s="5">
        <v>2</v>
      </c>
      <c r="Q13" s="5">
        <v>1</v>
      </c>
      <c r="R13" s="5" t="s">
        <v>98</v>
      </c>
      <c r="S13" s="5" t="s">
        <v>71</v>
      </c>
      <c r="T13" s="5" t="s">
        <v>165</v>
      </c>
      <c r="U13" s="6" t="s">
        <v>78</v>
      </c>
      <c r="V13" s="5" t="s">
        <v>94</v>
      </c>
      <c r="W13" s="5" t="s">
        <v>82</v>
      </c>
      <c r="X13" s="5" t="s">
        <v>83</v>
      </c>
      <c r="Y13" s="8" t="s">
        <v>6</v>
      </c>
      <c r="Z13" s="12">
        <v>45511</v>
      </c>
      <c r="AA13" s="5" t="s">
        <v>277</v>
      </c>
      <c r="AB13" s="5" t="s">
        <v>78</v>
      </c>
      <c r="AC13" s="5" t="s">
        <v>207</v>
      </c>
      <c r="AD13" s="15">
        <f t="shared" si="0"/>
        <v>51</v>
      </c>
      <c r="AE13" s="15">
        <v>0</v>
      </c>
      <c r="AF13" s="24"/>
      <c r="AG13" s="5" t="s">
        <v>71</v>
      </c>
      <c r="AH13" s="24" t="s">
        <v>94</v>
      </c>
      <c r="AI13" s="24" t="s">
        <v>82</v>
      </c>
      <c r="AJ13" s="24" t="s">
        <v>83</v>
      </c>
      <c r="AK13" s="5"/>
      <c r="AL13" s="5"/>
      <c r="AM13" s="5"/>
      <c r="AN13" s="5" t="s">
        <v>207</v>
      </c>
      <c r="AO13" s="6" t="s">
        <v>270</v>
      </c>
      <c r="AP13" s="6" t="s">
        <v>76</v>
      </c>
    </row>
    <row r="14" spans="1:42" ht="30" x14ac:dyDescent="0.25">
      <c r="A14" s="97">
        <v>426355</v>
      </c>
      <c r="B14" s="98" t="s">
        <v>23</v>
      </c>
      <c r="C14" s="51" t="s">
        <v>39</v>
      </c>
      <c r="D14" s="52">
        <v>44976</v>
      </c>
      <c r="E14" s="52">
        <v>45351</v>
      </c>
      <c r="F14" s="51" t="s">
        <v>77</v>
      </c>
      <c r="G14" s="52">
        <v>31189</v>
      </c>
      <c r="H14" s="39">
        <f t="shared" si="1"/>
        <v>37</v>
      </c>
      <c r="I14" s="51">
        <v>4</v>
      </c>
      <c r="J14" s="51">
        <v>38</v>
      </c>
      <c r="K14" s="51" t="s">
        <v>30</v>
      </c>
      <c r="L14" s="51" t="s">
        <v>78</v>
      </c>
      <c r="M14" s="40" t="s">
        <v>466</v>
      </c>
      <c r="N14" s="51" t="s">
        <v>181</v>
      </c>
      <c r="O14" s="51" t="s">
        <v>364</v>
      </c>
      <c r="P14" s="51">
        <v>2</v>
      </c>
      <c r="Q14" s="51">
        <v>0</v>
      </c>
      <c r="R14" s="51">
        <v>1</v>
      </c>
      <c r="S14" s="51" t="s">
        <v>80</v>
      </c>
      <c r="T14" s="51" t="s">
        <v>95</v>
      </c>
      <c r="U14" s="51" t="s">
        <v>78</v>
      </c>
      <c r="V14" s="51" t="s">
        <v>110</v>
      </c>
      <c r="W14" s="51" t="s">
        <v>82</v>
      </c>
      <c r="X14" s="51" t="s">
        <v>373</v>
      </c>
      <c r="Y14" s="8" t="s">
        <v>39</v>
      </c>
      <c r="Z14" s="52">
        <v>45384</v>
      </c>
      <c r="AA14" s="51" t="s">
        <v>339</v>
      </c>
      <c r="AB14" s="51" t="s">
        <v>78</v>
      </c>
      <c r="AC14" s="51" t="s">
        <v>207</v>
      </c>
      <c r="AD14" s="39">
        <f t="shared" si="0"/>
        <v>33</v>
      </c>
      <c r="AE14" s="51">
        <v>0</v>
      </c>
      <c r="AF14" s="196"/>
      <c r="AG14" s="51" t="s">
        <v>80</v>
      </c>
      <c r="AH14" s="196" t="s">
        <v>110</v>
      </c>
      <c r="AI14" s="196" t="s">
        <v>82</v>
      </c>
      <c r="AJ14" s="196" t="s">
        <v>373</v>
      </c>
      <c r="AK14" s="51"/>
      <c r="AL14" s="51"/>
      <c r="AM14" s="51"/>
      <c r="AN14" s="51" t="s">
        <v>207</v>
      </c>
      <c r="AO14" s="51" t="s">
        <v>270</v>
      </c>
      <c r="AP14" s="51" t="s">
        <v>181</v>
      </c>
    </row>
    <row r="15" spans="1:42" ht="45" x14ac:dyDescent="0.25">
      <c r="A15" s="34">
        <v>432835</v>
      </c>
      <c r="B15" s="10" t="s">
        <v>23</v>
      </c>
      <c r="C15" s="5" t="s">
        <v>39</v>
      </c>
      <c r="D15" s="12">
        <v>45266</v>
      </c>
      <c r="E15" s="12">
        <v>45449</v>
      </c>
      <c r="F15" s="5" t="s">
        <v>77</v>
      </c>
      <c r="G15" s="12">
        <v>32186</v>
      </c>
      <c r="H15" s="15">
        <f t="shared" si="1"/>
        <v>35</v>
      </c>
      <c r="I15" s="5">
        <v>2</v>
      </c>
      <c r="J15" s="5">
        <v>33</v>
      </c>
      <c r="K15" s="5" t="s">
        <v>30</v>
      </c>
      <c r="L15" s="5" t="s">
        <v>78</v>
      </c>
      <c r="M15" s="13" t="s">
        <v>445</v>
      </c>
      <c r="N15" s="5" t="s">
        <v>154</v>
      </c>
      <c r="O15" s="5" t="s">
        <v>421</v>
      </c>
      <c r="P15" s="5">
        <v>2</v>
      </c>
      <c r="Q15" s="5">
        <v>0</v>
      </c>
      <c r="R15" s="5">
        <v>1</v>
      </c>
      <c r="S15" s="5" t="s">
        <v>80</v>
      </c>
      <c r="T15" s="5" t="s">
        <v>95</v>
      </c>
      <c r="U15" s="5" t="s">
        <v>78</v>
      </c>
      <c r="V15" s="13" t="s">
        <v>446</v>
      </c>
      <c r="W15" s="5" t="s">
        <v>82</v>
      </c>
      <c r="X15" s="5" t="s">
        <v>373</v>
      </c>
      <c r="Y15" s="8" t="s">
        <v>39</v>
      </c>
      <c r="Z15" s="12">
        <v>45518</v>
      </c>
      <c r="AA15" s="5" t="s">
        <v>271</v>
      </c>
      <c r="AB15" s="5" t="s">
        <v>78</v>
      </c>
      <c r="AC15" s="5" t="s">
        <v>207</v>
      </c>
      <c r="AD15" s="15">
        <f t="shared" si="0"/>
        <v>69</v>
      </c>
      <c r="AE15" s="5">
        <v>0</v>
      </c>
      <c r="AF15" s="5"/>
      <c r="AG15" s="5" t="s">
        <v>80</v>
      </c>
      <c r="AH15" s="13" t="s">
        <v>447</v>
      </c>
      <c r="AI15" s="5" t="s">
        <v>82</v>
      </c>
      <c r="AJ15" s="5" t="s">
        <v>373</v>
      </c>
      <c r="AK15" s="5"/>
      <c r="AL15" s="5"/>
      <c r="AM15" s="5"/>
      <c r="AN15" s="5" t="s">
        <v>207</v>
      </c>
      <c r="AO15" s="5" t="s">
        <v>251</v>
      </c>
      <c r="AP15" s="13" t="s">
        <v>448</v>
      </c>
    </row>
    <row r="16" spans="1:42" x14ac:dyDescent="0.25">
      <c r="A16" s="34">
        <v>437843</v>
      </c>
      <c r="B16" s="10" t="s">
        <v>23</v>
      </c>
      <c r="C16" s="13" t="s">
        <v>39</v>
      </c>
      <c r="D16" s="12">
        <v>45152</v>
      </c>
      <c r="E16" s="12">
        <v>45336</v>
      </c>
      <c r="F16" s="5" t="s">
        <v>77</v>
      </c>
      <c r="G16" s="12">
        <v>34197</v>
      </c>
      <c r="H16" s="15">
        <f t="shared" si="1"/>
        <v>29</v>
      </c>
      <c r="I16" s="5">
        <v>3</v>
      </c>
      <c r="J16" s="5">
        <v>40</v>
      </c>
      <c r="K16" s="5" t="s">
        <v>30</v>
      </c>
      <c r="L16" s="5" t="s">
        <v>78</v>
      </c>
      <c r="M16" s="5" t="s">
        <v>4</v>
      </c>
      <c r="N16" s="5" t="s">
        <v>181</v>
      </c>
      <c r="O16" s="5" t="s">
        <v>421</v>
      </c>
      <c r="P16" s="5">
        <v>3</v>
      </c>
      <c r="Q16" s="5">
        <v>0</v>
      </c>
      <c r="R16" s="5">
        <v>1</v>
      </c>
      <c r="S16" s="5" t="s">
        <v>80</v>
      </c>
      <c r="T16" s="5" t="s">
        <v>95</v>
      </c>
      <c r="U16" s="5" t="s">
        <v>78</v>
      </c>
      <c r="V16" s="5" t="s">
        <v>107</v>
      </c>
      <c r="W16" s="5" t="s">
        <v>82</v>
      </c>
      <c r="X16" s="5" t="s">
        <v>373</v>
      </c>
      <c r="Y16" s="8" t="s">
        <v>39</v>
      </c>
      <c r="Z16" s="12">
        <v>45406</v>
      </c>
      <c r="AA16" s="5" t="s">
        <v>317</v>
      </c>
      <c r="AB16" s="5" t="s">
        <v>78</v>
      </c>
      <c r="AC16" s="5" t="s">
        <v>134</v>
      </c>
      <c r="AD16" s="15">
        <f t="shared" si="0"/>
        <v>70</v>
      </c>
      <c r="AE16" s="5">
        <v>0</v>
      </c>
      <c r="AF16" s="5"/>
      <c r="AG16" s="5" t="s">
        <v>71</v>
      </c>
      <c r="AH16" s="5" t="s">
        <v>107</v>
      </c>
      <c r="AI16" s="5" t="s">
        <v>82</v>
      </c>
      <c r="AJ16" s="5" t="s">
        <v>373</v>
      </c>
      <c r="AK16" s="5"/>
      <c r="AL16" s="5"/>
      <c r="AM16" s="5"/>
      <c r="AN16" s="5" t="s">
        <v>134</v>
      </c>
      <c r="AO16" s="5" t="s">
        <v>317</v>
      </c>
      <c r="AP16" s="5"/>
    </row>
    <row r="17" spans="1:42" x14ac:dyDescent="0.25">
      <c r="A17" s="34">
        <v>452629</v>
      </c>
      <c r="B17" s="10" t="s">
        <v>23</v>
      </c>
      <c r="C17" s="5" t="s">
        <v>39</v>
      </c>
      <c r="D17" s="12">
        <v>45048</v>
      </c>
      <c r="E17" s="12">
        <v>45260</v>
      </c>
      <c r="F17" s="5" t="s">
        <v>77</v>
      </c>
      <c r="G17" s="12">
        <v>30032</v>
      </c>
      <c r="H17" s="15">
        <f t="shared" si="1"/>
        <v>41</v>
      </c>
      <c r="I17" s="5">
        <v>3</v>
      </c>
      <c r="J17" s="5">
        <v>32</v>
      </c>
      <c r="K17" s="5" t="s">
        <v>30</v>
      </c>
      <c r="L17" s="5" t="s">
        <v>78</v>
      </c>
      <c r="M17" s="5" t="s">
        <v>458</v>
      </c>
      <c r="N17" s="5" t="s">
        <v>92</v>
      </c>
      <c r="O17" s="5" t="s">
        <v>276</v>
      </c>
      <c r="P17" s="5">
        <v>3</v>
      </c>
      <c r="Q17" s="5">
        <v>0</v>
      </c>
      <c r="R17" s="5">
        <v>1</v>
      </c>
      <c r="S17" s="5" t="s">
        <v>80</v>
      </c>
      <c r="T17" s="5" t="s">
        <v>95</v>
      </c>
      <c r="U17" s="5" t="s">
        <v>78</v>
      </c>
      <c r="V17" s="5" t="s">
        <v>383</v>
      </c>
      <c r="W17" s="5" t="s">
        <v>82</v>
      </c>
      <c r="X17" s="5" t="s">
        <v>373</v>
      </c>
      <c r="Y17" s="8" t="s">
        <v>39</v>
      </c>
      <c r="Z17" s="12">
        <v>45297</v>
      </c>
      <c r="AA17" s="5" t="s">
        <v>394</v>
      </c>
      <c r="AB17" s="5" t="s">
        <v>78</v>
      </c>
      <c r="AC17" s="5" t="s">
        <v>207</v>
      </c>
      <c r="AD17" s="15">
        <f t="shared" si="0"/>
        <v>37</v>
      </c>
      <c r="AE17" s="5">
        <v>0</v>
      </c>
      <c r="AF17" s="5"/>
      <c r="AG17" s="5" t="s">
        <v>80</v>
      </c>
      <c r="AH17" s="5" t="s">
        <v>383</v>
      </c>
      <c r="AI17" s="5" t="s">
        <v>459</v>
      </c>
      <c r="AJ17" s="5" t="s">
        <v>373</v>
      </c>
      <c r="AK17" s="5"/>
      <c r="AL17" s="5"/>
      <c r="AM17" s="5"/>
      <c r="AN17" s="5" t="s">
        <v>207</v>
      </c>
      <c r="AO17" s="5" t="s">
        <v>271</v>
      </c>
      <c r="AP17" s="5" t="s">
        <v>460</v>
      </c>
    </row>
    <row r="18" spans="1:42" ht="45" x14ac:dyDescent="0.25">
      <c r="A18" s="34">
        <v>460987</v>
      </c>
      <c r="B18" s="10" t="s">
        <v>23</v>
      </c>
      <c r="C18" s="5" t="s">
        <v>39</v>
      </c>
      <c r="D18" s="12">
        <v>45249</v>
      </c>
      <c r="E18" s="12">
        <v>45434</v>
      </c>
      <c r="F18" s="5" t="s">
        <v>77</v>
      </c>
      <c r="G18" s="12">
        <v>30494</v>
      </c>
      <c r="H18" s="15">
        <f t="shared" si="1"/>
        <v>40</v>
      </c>
      <c r="I18" s="5">
        <v>6</v>
      </c>
      <c r="J18" s="5">
        <v>37</v>
      </c>
      <c r="K18" s="5" t="s">
        <v>30</v>
      </c>
      <c r="L18" s="5" t="s">
        <v>78</v>
      </c>
      <c r="M18" s="5" t="s">
        <v>296</v>
      </c>
      <c r="N18" s="5" t="s">
        <v>480</v>
      </c>
      <c r="O18" s="5" t="s">
        <v>481</v>
      </c>
      <c r="P18" s="5">
        <v>2</v>
      </c>
      <c r="Q18" s="5">
        <v>0</v>
      </c>
      <c r="R18" s="5">
        <v>1</v>
      </c>
      <c r="S18" s="5" t="s">
        <v>80</v>
      </c>
      <c r="T18" s="5" t="s">
        <v>95</v>
      </c>
      <c r="U18" s="5" t="s">
        <v>78</v>
      </c>
      <c r="V18" s="5" t="s">
        <v>383</v>
      </c>
      <c r="W18" s="5" t="s">
        <v>82</v>
      </c>
      <c r="X18" s="5" t="s">
        <v>373</v>
      </c>
      <c r="Y18" s="8" t="s">
        <v>39</v>
      </c>
      <c r="Z18" s="12">
        <v>45500</v>
      </c>
      <c r="AA18" s="5" t="s">
        <v>314</v>
      </c>
      <c r="AB18" s="5" t="s">
        <v>78</v>
      </c>
      <c r="AC18" s="5" t="s">
        <v>134</v>
      </c>
      <c r="AD18" s="15">
        <f t="shared" si="0"/>
        <v>66</v>
      </c>
      <c r="AE18" s="5">
        <v>1</v>
      </c>
      <c r="AF18" s="13" t="s">
        <v>482</v>
      </c>
      <c r="AG18" s="5" t="s">
        <v>80</v>
      </c>
      <c r="AH18" s="5" t="s">
        <v>383</v>
      </c>
      <c r="AI18" s="5" t="s">
        <v>82</v>
      </c>
      <c r="AJ18" s="5" t="s">
        <v>373</v>
      </c>
      <c r="AK18" s="5"/>
      <c r="AL18" s="5"/>
      <c r="AM18" s="5"/>
      <c r="AN18" s="5" t="s">
        <v>134</v>
      </c>
      <c r="AO18" s="5" t="s">
        <v>290</v>
      </c>
      <c r="AP18" s="5"/>
    </row>
    <row r="19" spans="1:42" ht="75" x14ac:dyDescent="0.25">
      <c r="A19" s="17">
        <v>460992</v>
      </c>
      <c r="B19" s="10" t="s">
        <v>23</v>
      </c>
      <c r="C19" s="5" t="s">
        <v>39</v>
      </c>
      <c r="D19" s="12">
        <v>45208</v>
      </c>
      <c r="E19" s="12">
        <v>45412</v>
      </c>
      <c r="F19" s="5" t="s">
        <v>77</v>
      </c>
      <c r="G19" s="12">
        <v>30997</v>
      </c>
      <c r="H19" s="15">
        <f t="shared" si="1"/>
        <v>38</v>
      </c>
      <c r="I19" s="5">
        <v>1</v>
      </c>
      <c r="J19" s="5">
        <v>39</v>
      </c>
      <c r="K19" s="5" t="s">
        <v>30</v>
      </c>
      <c r="L19" s="5" t="s">
        <v>78</v>
      </c>
      <c r="M19" s="5" t="s">
        <v>4</v>
      </c>
      <c r="N19" s="5" t="s">
        <v>92</v>
      </c>
      <c r="O19" s="5" t="s">
        <v>232</v>
      </c>
      <c r="P19" s="5">
        <v>3</v>
      </c>
      <c r="Q19" s="5">
        <v>0</v>
      </c>
      <c r="R19" s="5" t="s">
        <v>98</v>
      </c>
      <c r="S19" s="5" t="s">
        <v>80</v>
      </c>
      <c r="T19" s="5" t="s">
        <v>95</v>
      </c>
      <c r="U19" s="5" t="s">
        <v>78</v>
      </c>
      <c r="V19" s="5" t="s">
        <v>383</v>
      </c>
      <c r="W19" s="5" t="s">
        <v>82</v>
      </c>
      <c r="X19" s="5" t="s">
        <v>373</v>
      </c>
      <c r="Y19" s="8" t="s">
        <v>39</v>
      </c>
      <c r="Z19" s="12">
        <v>45457</v>
      </c>
      <c r="AA19" s="5" t="s">
        <v>290</v>
      </c>
      <c r="AB19" s="5" t="s">
        <v>78</v>
      </c>
      <c r="AC19" s="5" t="s">
        <v>134</v>
      </c>
      <c r="AD19" s="15">
        <f t="shared" si="0"/>
        <v>45</v>
      </c>
      <c r="AE19" s="5">
        <v>2</v>
      </c>
      <c r="AF19" s="13" t="s">
        <v>398</v>
      </c>
      <c r="AG19" s="5" t="s">
        <v>80</v>
      </c>
      <c r="AH19" s="13" t="s">
        <v>130</v>
      </c>
      <c r="AI19" s="5" t="s">
        <v>82</v>
      </c>
      <c r="AJ19" s="5" t="s">
        <v>373</v>
      </c>
      <c r="AK19" s="5"/>
      <c r="AL19" s="5"/>
      <c r="AM19" s="5"/>
      <c r="AN19" s="5" t="s">
        <v>134</v>
      </c>
      <c r="AO19" s="50" t="s">
        <v>290</v>
      </c>
      <c r="AP19" s="5"/>
    </row>
    <row r="20" spans="1:42" x14ac:dyDescent="0.25">
      <c r="A20" s="34">
        <v>467408</v>
      </c>
      <c r="B20" s="10" t="s">
        <v>23</v>
      </c>
      <c r="C20" s="5" t="s">
        <v>39</v>
      </c>
      <c r="D20" s="12">
        <v>45138</v>
      </c>
      <c r="E20" s="12">
        <v>45320</v>
      </c>
      <c r="F20" s="5" t="s">
        <v>77</v>
      </c>
      <c r="G20" s="12">
        <v>30840</v>
      </c>
      <c r="H20" s="15">
        <f t="shared" si="1"/>
        <v>39</v>
      </c>
      <c r="I20" s="5">
        <v>3</v>
      </c>
      <c r="J20" s="5">
        <v>29</v>
      </c>
      <c r="K20" s="5" t="s">
        <v>30</v>
      </c>
      <c r="L20" s="5" t="s">
        <v>78</v>
      </c>
      <c r="M20" s="5" t="s">
        <v>39</v>
      </c>
      <c r="N20" s="5" t="s">
        <v>154</v>
      </c>
      <c r="O20" s="5">
        <v>28</v>
      </c>
      <c r="P20" s="5">
        <v>2</v>
      </c>
      <c r="Q20" s="5">
        <v>0</v>
      </c>
      <c r="R20" s="5">
        <v>1</v>
      </c>
      <c r="S20" s="5" t="s">
        <v>80</v>
      </c>
      <c r="T20" s="5" t="s">
        <v>95</v>
      </c>
      <c r="U20" s="5" t="s">
        <v>78</v>
      </c>
      <c r="V20" s="5" t="s">
        <v>94</v>
      </c>
      <c r="W20" s="5" t="s">
        <v>82</v>
      </c>
      <c r="X20" s="5" t="s">
        <v>373</v>
      </c>
      <c r="Y20" s="8" t="s">
        <v>39</v>
      </c>
      <c r="Z20" s="12">
        <v>45399</v>
      </c>
      <c r="AA20" s="5" t="s">
        <v>372</v>
      </c>
      <c r="AB20" s="5" t="s">
        <v>78</v>
      </c>
      <c r="AC20" s="5" t="s">
        <v>134</v>
      </c>
      <c r="AD20" s="15">
        <f t="shared" si="0"/>
        <v>79</v>
      </c>
      <c r="AE20" s="5">
        <v>0</v>
      </c>
      <c r="AF20" s="5"/>
      <c r="AG20" s="5" t="s">
        <v>80</v>
      </c>
      <c r="AH20" s="5" t="s">
        <v>94</v>
      </c>
      <c r="AI20" s="5" t="s">
        <v>82</v>
      </c>
      <c r="AJ20" s="5" t="s">
        <v>373</v>
      </c>
      <c r="AK20" s="5"/>
      <c r="AL20" s="5"/>
      <c r="AM20" s="5"/>
      <c r="AN20" s="5" t="s">
        <v>134</v>
      </c>
      <c r="AO20" s="5" t="s">
        <v>372</v>
      </c>
      <c r="AP20" s="5"/>
    </row>
    <row r="21" spans="1:42" ht="30" x14ac:dyDescent="0.25">
      <c r="A21" s="3">
        <v>472809</v>
      </c>
      <c r="B21" s="9" t="s">
        <v>7</v>
      </c>
      <c r="C21" s="36" t="s">
        <v>5</v>
      </c>
      <c r="D21" s="12">
        <v>45344</v>
      </c>
      <c r="E21" s="12">
        <v>45546</v>
      </c>
      <c r="F21" s="5" t="s">
        <v>77</v>
      </c>
      <c r="G21" s="12">
        <v>31729</v>
      </c>
      <c r="H21" s="15">
        <f t="shared" si="1"/>
        <v>37</v>
      </c>
      <c r="I21" s="5">
        <v>4</v>
      </c>
      <c r="J21" s="5">
        <v>37</v>
      </c>
      <c r="K21" s="5" t="s">
        <v>30</v>
      </c>
      <c r="L21" s="5" t="s">
        <v>78</v>
      </c>
      <c r="M21" s="13" t="s">
        <v>304</v>
      </c>
      <c r="N21" s="5" t="s">
        <v>181</v>
      </c>
      <c r="O21" s="5" t="s">
        <v>313</v>
      </c>
      <c r="P21" s="5">
        <v>2</v>
      </c>
      <c r="Q21" s="5">
        <v>1</v>
      </c>
      <c r="R21" s="5" t="s">
        <v>253</v>
      </c>
      <c r="S21" s="5" t="s">
        <v>80</v>
      </c>
      <c r="T21" s="5" t="s">
        <v>95</v>
      </c>
      <c r="U21" s="5" t="s">
        <v>78</v>
      </c>
      <c r="V21" s="5" t="s">
        <v>94</v>
      </c>
      <c r="W21" s="5" t="s">
        <v>82</v>
      </c>
      <c r="X21" s="5" t="s">
        <v>83</v>
      </c>
      <c r="Y21" s="46" t="s">
        <v>5</v>
      </c>
      <c r="Z21" s="12">
        <v>45595</v>
      </c>
      <c r="AA21" s="5" t="s">
        <v>314</v>
      </c>
      <c r="AB21" s="5" t="s">
        <v>78</v>
      </c>
      <c r="AC21" s="5" t="s">
        <v>207</v>
      </c>
      <c r="AD21" s="15">
        <f t="shared" si="0"/>
        <v>49</v>
      </c>
      <c r="AE21" s="15">
        <v>0</v>
      </c>
      <c r="AF21" s="5"/>
      <c r="AG21" s="5" t="s">
        <v>80</v>
      </c>
      <c r="AH21" s="5" t="s">
        <v>94</v>
      </c>
      <c r="AI21" s="5" t="s">
        <v>82</v>
      </c>
      <c r="AJ21" s="5" t="s">
        <v>83</v>
      </c>
      <c r="AK21" s="5"/>
      <c r="AL21" s="5"/>
      <c r="AM21" s="5"/>
      <c r="AN21" s="5" t="s">
        <v>207</v>
      </c>
      <c r="AO21" s="5" t="s">
        <v>251</v>
      </c>
      <c r="AP21" s="5" t="s">
        <v>312</v>
      </c>
    </row>
    <row r="22" spans="1:42" ht="60" x14ac:dyDescent="0.25">
      <c r="A22" s="1">
        <v>479535</v>
      </c>
      <c r="B22" s="1" t="s">
        <v>3</v>
      </c>
      <c r="C22" s="7" t="s">
        <v>4</v>
      </c>
      <c r="D22" s="12">
        <v>45048</v>
      </c>
      <c r="E22" s="12">
        <v>45214</v>
      </c>
      <c r="F22" s="5" t="s">
        <v>77</v>
      </c>
      <c r="G22" s="14">
        <v>34843</v>
      </c>
      <c r="H22" s="44">
        <f t="shared" si="1"/>
        <v>27</v>
      </c>
      <c r="I22" s="6">
        <v>3</v>
      </c>
      <c r="J22" s="6">
        <v>23</v>
      </c>
      <c r="K22" s="6" t="s">
        <v>30</v>
      </c>
      <c r="L22" s="6" t="s">
        <v>78</v>
      </c>
      <c r="M22" s="27" t="s">
        <v>503</v>
      </c>
      <c r="N22" s="13" t="s">
        <v>262</v>
      </c>
      <c r="O22" s="2">
        <f>25+5/7</f>
        <v>25.714285714285715</v>
      </c>
      <c r="P22" s="5">
        <v>7</v>
      </c>
      <c r="Q22" s="5">
        <v>0</v>
      </c>
      <c r="R22" s="6">
        <v>2</v>
      </c>
      <c r="S22" s="6" t="s">
        <v>263</v>
      </c>
      <c r="T22" s="5">
        <v>25</v>
      </c>
      <c r="U22" s="5" t="s">
        <v>77</v>
      </c>
      <c r="V22" s="5" t="s">
        <v>94</v>
      </c>
      <c r="W22" s="6" t="s">
        <v>82</v>
      </c>
      <c r="X22" s="6" t="s">
        <v>112</v>
      </c>
      <c r="Y22" s="8" t="s">
        <v>4</v>
      </c>
      <c r="Z22" s="12">
        <v>45292</v>
      </c>
      <c r="AA22" s="5">
        <f>36+6/7</f>
        <v>36.857142857142854</v>
      </c>
      <c r="AB22" s="5" t="s">
        <v>78</v>
      </c>
      <c r="AC22" s="6" t="s">
        <v>207</v>
      </c>
      <c r="AD22" s="15">
        <f t="shared" si="0"/>
        <v>78</v>
      </c>
      <c r="AE22" s="5">
        <v>0</v>
      </c>
      <c r="AF22" s="5">
        <v>0</v>
      </c>
      <c r="AG22" s="6" t="s">
        <v>71</v>
      </c>
      <c r="AH22" s="5" t="s">
        <v>94</v>
      </c>
      <c r="AI22" s="5" t="s">
        <v>82</v>
      </c>
      <c r="AJ22" s="6" t="s">
        <v>122</v>
      </c>
      <c r="AK22" s="5"/>
      <c r="AL22" s="5"/>
      <c r="AM22" s="5"/>
      <c r="AN22" s="5" t="s">
        <v>207</v>
      </c>
      <c r="AO22" s="5" t="s">
        <v>264</v>
      </c>
      <c r="AP22" s="5" t="s">
        <v>4</v>
      </c>
    </row>
    <row r="23" spans="1:42" ht="30" x14ac:dyDescent="0.25">
      <c r="A23" s="29">
        <v>480470</v>
      </c>
      <c r="B23" s="9" t="s">
        <v>7</v>
      </c>
      <c r="C23" s="36" t="s">
        <v>5</v>
      </c>
      <c r="D23" s="12">
        <v>45201</v>
      </c>
      <c r="E23" s="12">
        <v>45432</v>
      </c>
      <c r="F23" s="5" t="s">
        <v>77</v>
      </c>
      <c r="G23" s="12">
        <v>33972</v>
      </c>
      <c r="H23" s="15">
        <f t="shared" si="1"/>
        <v>30</v>
      </c>
      <c r="I23" s="5">
        <v>1</v>
      </c>
      <c r="J23" s="5">
        <v>28</v>
      </c>
      <c r="K23" s="5" t="s">
        <v>30</v>
      </c>
      <c r="L23" s="5" t="s">
        <v>78</v>
      </c>
      <c r="M23" s="13" t="s">
        <v>220</v>
      </c>
      <c r="N23" s="5" t="s">
        <v>92</v>
      </c>
      <c r="O23" s="5">
        <v>35</v>
      </c>
      <c r="P23" s="5">
        <v>3</v>
      </c>
      <c r="Q23" s="5">
        <v>1</v>
      </c>
      <c r="R23" s="5" t="s">
        <v>98</v>
      </c>
      <c r="S23" s="5" t="s">
        <v>80</v>
      </c>
      <c r="T23" s="14" t="s">
        <v>222</v>
      </c>
      <c r="U23" s="5" t="s">
        <v>78</v>
      </c>
      <c r="V23" s="5" t="s">
        <v>107</v>
      </c>
      <c r="W23" s="6" t="s">
        <v>82</v>
      </c>
      <c r="X23" s="6" t="s">
        <v>83</v>
      </c>
      <c r="Y23" s="8" t="s">
        <v>6</v>
      </c>
      <c r="Z23" s="12">
        <v>45463</v>
      </c>
      <c r="AA23" s="5" t="s">
        <v>221</v>
      </c>
      <c r="AB23" s="5" t="s">
        <v>78</v>
      </c>
      <c r="AC23" s="5" t="s">
        <v>207</v>
      </c>
      <c r="AD23" s="15">
        <f t="shared" si="0"/>
        <v>31</v>
      </c>
      <c r="AE23" s="15">
        <v>0</v>
      </c>
      <c r="AF23" s="5" t="s">
        <v>78</v>
      </c>
      <c r="AG23" s="5" t="s">
        <v>80</v>
      </c>
      <c r="AH23" s="13" t="s">
        <v>107</v>
      </c>
      <c r="AI23" s="6" t="s">
        <v>82</v>
      </c>
      <c r="AJ23" s="6" t="s">
        <v>83</v>
      </c>
      <c r="AK23" s="5"/>
      <c r="AL23" s="5"/>
      <c r="AM23" s="5"/>
      <c r="AN23" s="5" t="s">
        <v>207</v>
      </c>
      <c r="AO23" s="5" t="s">
        <v>337</v>
      </c>
      <c r="AP23" s="5" t="s">
        <v>39</v>
      </c>
    </row>
    <row r="24" spans="1:42" x14ac:dyDescent="0.25">
      <c r="A24" s="34">
        <v>481813</v>
      </c>
      <c r="B24" s="10" t="s">
        <v>23</v>
      </c>
      <c r="C24" s="5" t="s">
        <v>76</v>
      </c>
      <c r="D24" s="12">
        <v>45204</v>
      </c>
      <c r="E24" s="12">
        <v>45358</v>
      </c>
      <c r="F24" s="5" t="s">
        <v>77</v>
      </c>
      <c r="G24" s="12">
        <v>30282</v>
      </c>
      <c r="H24" s="15">
        <f t="shared" si="1"/>
        <v>40</v>
      </c>
      <c r="I24" s="5">
        <v>3</v>
      </c>
      <c r="J24" s="5">
        <v>37</v>
      </c>
      <c r="K24" s="5" t="s">
        <v>30</v>
      </c>
      <c r="L24" s="5" t="s">
        <v>78</v>
      </c>
      <c r="M24" s="5"/>
      <c r="N24" s="5" t="s">
        <v>92</v>
      </c>
      <c r="O24" s="5" t="s">
        <v>457</v>
      </c>
      <c r="P24" s="5">
        <v>3</v>
      </c>
      <c r="Q24" s="5">
        <v>0</v>
      </c>
      <c r="R24" s="5">
        <v>1</v>
      </c>
      <c r="S24" s="5" t="s">
        <v>80</v>
      </c>
      <c r="T24" s="5" t="s">
        <v>165</v>
      </c>
      <c r="U24" s="5" t="s">
        <v>78</v>
      </c>
      <c r="V24" s="5" t="s">
        <v>334</v>
      </c>
      <c r="W24" s="5" t="s">
        <v>82</v>
      </c>
      <c r="X24" s="5" t="s">
        <v>373</v>
      </c>
      <c r="Y24" s="8" t="s">
        <v>76</v>
      </c>
      <c r="Z24" s="12">
        <v>45454</v>
      </c>
      <c r="AA24" s="5" t="s">
        <v>219</v>
      </c>
      <c r="AB24" s="5" t="s">
        <v>4</v>
      </c>
      <c r="AC24" s="5" t="s">
        <v>328</v>
      </c>
      <c r="AD24" s="15">
        <f t="shared" si="0"/>
        <v>96</v>
      </c>
      <c r="AE24" s="5">
        <v>1</v>
      </c>
      <c r="AF24" s="5"/>
      <c r="AG24" s="5" t="s">
        <v>80</v>
      </c>
      <c r="AH24" s="5" t="s">
        <v>334</v>
      </c>
      <c r="AI24" s="5" t="s">
        <v>82</v>
      </c>
      <c r="AJ24" s="5" t="s">
        <v>423</v>
      </c>
      <c r="AK24" s="5"/>
      <c r="AL24" s="5"/>
      <c r="AM24" s="5"/>
      <c r="AN24" s="5" t="s">
        <v>328</v>
      </c>
      <c r="AO24" s="5" t="s">
        <v>219</v>
      </c>
      <c r="AP24" s="5" t="s">
        <v>4</v>
      </c>
    </row>
    <row r="25" spans="1:42" ht="45" x14ac:dyDescent="0.25">
      <c r="A25" s="1">
        <v>485121</v>
      </c>
      <c r="B25" s="1" t="s">
        <v>3</v>
      </c>
      <c r="C25" s="7" t="s">
        <v>5</v>
      </c>
      <c r="D25" s="12">
        <v>45089</v>
      </c>
      <c r="E25" s="12">
        <v>45278</v>
      </c>
      <c r="F25" s="5" t="s">
        <v>77</v>
      </c>
      <c r="G25" s="14">
        <v>30613</v>
      </c>
      <c r="H25" s="44">
        <f t="shared" si="1"/>
        <v>39</v>
      </c>
      <c r="I25" s="6">
        <v>2</v>
      </c>
      <c r="J25" s="6">
        <v>28</v>
      </c>
      <c r="K25" s="6" t="s">
        <v>30</v>
      </c>
      <c r="L25" s="6" t="s">
        <v>78</v>
      </c>
      <c r="M25" s="13" t="s">
        <v>131</v>
      </c>
      <c r="N25" s="5" t="s">
        <v>132</v>
      </c>
      <c r="O25" s="2">
        <f>27+5/7</f>
        <v>27.714285714285715</v>
      </c>
      <c r="P25" s="5">
        <v>3</v>
      </c>
      <c r="Q25" s="5">
        <v>0</v>
      </c>
      <c r="R25" s="6" t="s">
        <v>100</v>
      </c>
      <c r="S25" s="6" t="s">
        <v>80</v>
      </c>
      <c r="T25" s="6" t="s">
        <v>95</v>
      </c>
      <c r="U25" s="5" t="s">
        <v>77</v>
      </c>
      <c r="V25" s="13" t="s">
        <v>133</v>
      </c>
      <c r="W25" s="6" t="s">
        <v>82</v>
      </c>
      <c r="X25" s="6" t="s">
        <v>83</v>
      </c>
      <c r="Y25" s="8" t="s">
        <v>39</v>
      </c>
      <c r="Z25" s="14">
        <v>45305</v>
      </c>
      <c r="AA25" s="5">
        <f>32+6/7</f>
        <v>32.857142857142854</v>
      </c>
      <c r="AB25" s="5" t="s">
        <v>78</v>
      </c>
      <c r="AC25" s="6" t="s">
        <v>134</v>
      </c>
      <c r="AD25" s="15">
        <f t="shared" si="0"/>
        <v>27</v>
      </c>
      <c r="AE25" s="15">
        <v>0</v>
      </c>
      <c r="AF25" s="5" t="s">
        <v>78</v>
      </c>
      <c r="AG25" s="6" t="s">
        <v>80</v>
      </c>
      <c r="AH25" s="13" t="s">
        <v>133</v>
      </c>
      <c r="AI25" s="6" t="s">
        <v>82</v>
      </c>
      <c r="AJ25" s="6" t="s">
        <v>83</v>
      </c>
      <c r="AK25" s="5"/>
      <c r="AL25" s="5"/>
      <c r="AM25" s="5"/>
      <c r="AN25" s="6" t="s">
        <v>134</v>
      </c>
      <c r="AO25" s="5" t="s">
        <v>341</v>
      </c>
      <c r="AP25" s="5" t="s">
        <v>342</v>
      </c>
    </row>
    <row r="26" spans="1:42" x14ac:dyDescent="0.25">
      <c r="A26" s="30">
        <v>487721</v>
      </c>
      <c r="B26" s="9" t="s">
        <v>7</v>
      </c>
      <c r="C26" s="7" t="s">
        <v>76</v>
      </c>
      <c r="D26" s="12">
        <v>45117</v>
      </c>
      <c r="E26" s="12">
        <v>45327</v>
      </c>
      <c r="F26" s="5" t="s">
        <v>77</v>
      </c>
      <c r="G26" s="12">
        <v>31589</v>
      </c>
      <c r="H26" s="15">
        <f t="shared" si="1"/>
        <v>37</v>
      </c>
      <c r="I26" s="5">
        <v>5</v>
      </c>
      <c r="J26" s="5">
        <v>47</v>
      </c>
      <c r="K26" s="5" t="s">
        <v>30</v>
      </c>
      <c r="L26" s="5" t="s">
        <v>78</v>
      </c>
      <c r="M26" s="5" t="s">
        <v>319</v>
      </c>
      <c r="N26" s="5" t="s">
        <v>154</v>
      </c>
      <c r="O26" s="5">
        <v>32</v>
      </c>
      <c r="P26" s="5">
        <v>2</v>
      </c>
      <c r="Q26" s="5">
        <v>1</v>
      </c>
      <c r="R26" s="5" t="s">
        <v>253</v>
      </c>
      <c r="S26" s="5" t="s">
        <v>71</v>
      </c>
      <c r="T26" s="5" t="s">
        <v>165</v>
      </c>
      <c r="U26" s="5" t="s">
        <v>78</v>
      </c>
      <c r="V26" s="5" t="s">
        <v>94</v>
      </c>
      <c r="W26" s="5" t="s">
        <v>82</v>
      </c>
      <c r="X26" s="5" t="s">
        <v>83</v>
      </c>
      <c r="Y26" s="8" t="s">
        <v>76</v>
      </c>
      <c r="Z26" s="12">
        <v>45363</v>
      </c>
      <c r="AA26" s="5" t="s">
        <v>290</v>
      </c>
      <c r="AB26" s="5" t="s">
        <v>78</v>
      </c>
      <c r="AC26" s="5" t="s">
        <v>207</v>
      </c>
      <c r="AD26" s="15">
        <f t="shared" si="0"/>
        <v>36</v>
      </c>
      <c r="AE26" s="15">
        <v>0</v>
      </c>
      <c r="AF26" s="5"/>
      <c r="AG26" s="5" t="s">
        <v>71</v>
      </c>
      <c r="AH26" s="5" t="s">
        <v>94</v>
      </c>
      <c r="AI26" s="5" t="s">
        <v>82</v>
      </c>
      <c r="AJ26" s="5" t="s">
        <v>83</v>
      </c>
      <c r="AK26" s="5"/>
      <c r="AL26" s="5"/>
      <c r="AM26" s="5"/>
      <c r="AN26" s="5" t="s">
        <v>207</v>
      </c>
      <c r="AO26" s="5" t="s">
        <v>320</v>
      </c>
      <c r="AP26" s="5" t="s">
        <v>319</v>
      </c>
    </row>
    <row r="27" spans="1:42" ht="45" x14ac:dyDescent="0.25">
      <c r="A27" s="1">
        <v>489542</v>
      </c>
      <c r="B27" s="1" t="s">
        <v>3</v>
      </c>
      <c r="C27" s="7" t="s">
        <v>5</v>
      </c>
      <c r="D27" s="14">
        <v>45400</v>
      </c>
      <c r="E27" s="12">
        <v>45576</v>
      </c>
      <c r="F27" s="5" t="s">
        <v>77</v>
      </c>
      <c r="G27" s="14">
        <v>33925</v>
      </c>
      <c r="H27" s="44">
        <f t="shared" si="1"/>
        <v>31</v>
      </c>
      <c r="I27" s="6">
        <v>1</v>
      </c>
      <c r="J27" s="6">
        <v>42</v>
      </c>
      <c r="K27" s="6" t="s">
        <v>30</v>
      </c>
      <c r="L27" s="6" t="s">
        <v>78</v>
      </c>
      <c r="M27" s="13" t="s">
        <v>183</v>
      </c>
      <c r="N27" s="5" t="s">
        <v>78</v>
      </c>
      <c r="O27" s="2">
        <v>27</v>
      </c>
      <c r="P27" s="5">
        <v>3</v>
      </c>
      <c r="Q27" s="5">
        <v>0</v>
      </c>
      <c r="R27" s="6" t="s">
        <v>98</v>
      </c>
      <c r="S27" s="6" t="s">
        <v>145</v>
      </c>
      <c r="T27" s="6" t="s">
        <v>95</v>
      </c>
      <c r="U27" s="6" t="s">
        <v>78</v>
      </c>
      <c r="V27" s="13" t="s">
        <v>128</v>
      </c>
      <c r="W27" s="6" t="s">
        <v>82</v>
      </c>
      <c r="X27" s="6" t="s">
        <v>83</v>
      </c>
      <c r="Y27" s="8" t="s">
        <v>39</v>
      </c>
      <c r="Z27" s="12">
        <v>45657</v>
      </c>
      <c r="AA27" s="5">
        <f>38+5/7</f>
        <v>38.714285714285715</v>
      </c>
      <c r="AB27" s="5" t="s">
        <v>78</v>
      </c>
      <c r="AC27" s="27" t="s">
        <v>184</v>
      </c>
      <c r="AD27" s="15">
        <f t="shared" si="0"/>
        <v>81</v>
      </c>
      <c r="AE27" s="15">
        <v>1</v>
      </c>
      <c r="AF27" s="13" t="s">
        <v>99</v>
      </c>
      <c r="AG27" s="6" t="s">
        <v>80</v>
      </c>
      <c r="AH27" s="13" t="s">
        <v>173</v>
      </c>
      <c r="AI27" s="6" t="s">
        <v>82</v>
      </c>
      <c r="AJ27" s="6" t="s">
        <v>83</v>
      </c>
      <c r="AK27" s="5"/>
      <c r="AL27" s="5"/>
      <c r="AM27" s="5"/>
      <c r="AN27" s="5" t="s">
        <v>260</v>
      </c>
      <c r="AO27" s="5" t="s">
        <v>335</v>
      </c>
      <c r="AP27" s="5" t="s">
        <v>260</v>
      </c>
    </row>
    <row r="28" spans="1:42" ht="30" x14ac:dyDescent="0.25">
      <c r="A28" s="3">
        <v>492686</v>
      </c>
      <c r="B28" s="9" t="s">
        <v>7</v>
      </c>
      <c r="C28" s="7" t="s">
        <v>5</v>
      </c>
      <c r="D28" s="12">
        <v>45269</v>
      </c>
      <c r="E28" s="12">
        <v>45467</v>
      </c>
      <c r="F28" s="5" t="s">
        <v>77</v>
      </c>
      <c r="G28" s="12">
        <v>33111</v>
      </c>
      <c r="H28" s="15">
        <f t="shared" si="1"/>
        <v>33</v>
      </c>
      <c r="I28" s="5">
        <v>1</v>
      </c>
      <c r="J28" s="5">
        <v>32</v>
      </c>
      <c r="K28" s="5" t="s">
        <v>223</v>
      </c>
      <c r="L28" s="5" t="s">
        <v>78</v>
      </c>
      <c r="M28" s="13" t="s">
        <v>249</v>
      </c>
      <c r="N28" s="5" t="s">
        <v>92</v>
      </c>
      <c r="O28" s="5" t="s">
        <v>250</v>
      </c>
      <c r="P28" s="5">
        <v>2</v>
      </c>
      <c r="Q28" s="5">
        <v>1</v>
      </c>
      <c r="R28" s="6" t="s">
        <v>253</v>
      </c>
      <c r="S28" s="5" t="s">
        <v>80</v>
      </c>
      <c r="T28" s="5" t="s">
        <v>95</v>
      </c>
      <c r="U28" s="5" t="s">
        <v>78</v>
      </c>
      <c r="V28" s="13" t="s">
        <v>173</v>
      </c>
      <c r="W28" s="6" t="s">
        <v>82</v>
      </c>
      <c r="X28" s="6" t="s">
        <v>83</v>
      </c>
      <c r="Y28" s="8" t="s">
        <v>5</v>
      </c>
      <c r="Z28" s="12">
        <v>45523</v>
      </c>
      <c r="AA28" s="5" t="s">
        <v>251</v>
      </c>
      <c r="AB28" s="5"/>
      <c r="AC28" s="5" t="s">
        <v>207</v>
      </c>
      <c r="AD28" s="15">
        <f t="shared" si="0"/>
        <v>56</v>
      </c>
      <c r="AE28" s="15">
        <v>0</v>
      </c>
      <c r="AF28" s="5" t="s">
        <v>252</v>
      </c>
      <c r="AG28" s="5" t="s">
        <v>80</v>
      </c>
      <c r="AH28" s="13" t="s">
        <v>173</v>
      </c>
      <c r="AI28" s="5" t="s">
        <v>82</v>
      </c>
      <c r="AJ28" s="6" t="s">
        <v>83</v>
      </c>
      <c r="AK28" s="5"/>
      <c r="AL28" s="5"/>
      <c r="AM28" s="5"/>
      <c r="AN28" s="5" t="s">
        <v>310</v>
      </c>
      <c r="AO28" s="5" t="s">
        <v>162</v>
      </c>
      <c r="AP28" s="5" t="s">
        <v>4</v>
      </c>
    </row>
    <row r="29" spans="1:42" ht="45" x14ac:dyDescent="0.25">
      <c r="A29" s="35">
        <v>493806</v>
      </c>
      <c r="B29" s="10" t="s">
        <v>23</v>
      </c>
      <c r="C29" s="13" t="s">
        <v>76</v>
      </c>
      <c r="D29" s="12">
        <v>45259</v>
      </c>
      <c r="E29" s="12">
        <v>45459</v>
      </c>
      <c r="F29" s="5" t="s">
        <v>77</v>
      </c>
      <c r="G29" s="12">
        <v>32745</v>
      </c>
      <c r="H29" s="15">
        <f t="shared" si="1"/>
        <v>34</v>
      </c>
      <c r="I29" s="5">
        <v>3</v>
      </c>
      <c r="J29" s="5">
        <v>42</v>
      </c>
      <c r="K29" s="5" t="s">
        <v>30</v>
      </c>
      <c r="L29" s="5" t="s">
        <v>78</v>
      </c>
      <c r="M29" s="5" t="s">
        <v>440</v>
      </c>
      <c r="N29" s="5" t="s">
        <v>397</v>
      </c>
      <c r="O29" s="5" t="s">
        <v>306</v>
      </c>
      <c r="P29" s="5">
        <v>3</v>
      </c>
      <c r="Q29" s="5">
        <v>0</v>
      </c>
      <c r="R29" s="5">
        <v>1</v>
      </c>
      <c r="S29" s="5" t="s">
        <v>80</v>
      </c>
      <c r="T29" s="5" t="s">
        <v>165</v>
      </c>
      <c r="U29" s="5" t="s">
        <v>77</v>
      </c>
      <c r="V29" s="5" t="s">
        <v>94</v>
      </c>
      <c r="W29" s="5" t="s">
        <v>82</v>
      </c>
      <c r="X29" s="5" t="s">
        <v>373</v>
      </c>
      <c r="Y29" s="8" t="s">
        <v>76</v>
      </c>
      <c r="Z29" s="12">
        <v>45480</v>
      </c>
      <c r="AA29" s="5" t="s">
        <v>109</v>
      </c>
      <c r="AB29" s="5" t="s">
        <v>78</v>
      </c>
      <c r="AC29" s="13" t="s">
        <v>151</v>
      </c>
      <c r="AD29" s="15">
        <f t="shared" si="0"/>
        <v>21</v>
      </c>
      <c r="AE29" s="5">
        <v>2</v>
      </c>
      <c r="AF29" s="13" t="s">
        <v>439</v>
      </c>
      <c r="AG29" s="5" t="s">
        <v>80</v>
      </c>
      <c r="AH29" s="5" t="s">
        <v>94</v>
      </c>
      <c r="AI29" s="5" t="s">
        <v>82</v>
      </c>
      <c r="AJ29" s="5" t="s">
        <v>423</v>
      </c>
      <c r="AK29" s="5"/>
      <c r="AL29" s="5"/>
      <c r="AM29" s="5"/>
      <c r="AN29" s="5" t="s">
        <v>134</v>
      </c>
      <c r="AO29" s="5" t="s">
        <v>359</v>
      </c>
      <c r="AP29" s="5"/>
    </row>
    <row r="30" spans="1:42" ht="45" x14ac:dyDescent="0.25">
      <c r="A30" s="34">
        <v>497026</v>
      </c>
      <c r="B30" s="10" t="s">
        <v>23</v>
      </c>
      <c r="C30" s="5" t="s">
        <v>39</v>
      </c>
      <c r="D30" s="12">
        <v>45240</v>
      </c>
      <c r="E30" s="12">
        <v>45428</v>
      </c>
      <c r="F30" s="5" t="s">
        <v>77</v>
      </c>
      <c r="G30" s="12">
        <v>30198</v>
      </c>
      <c r="H30" s="15">
        <f t="shared" si="1"/>
        <v>41</v>
      </c>
      <c r="I30" s="5">
        <v>1</v>
      </c>
      <c r="J30" s="5">
        <v>33</v>
      </c>
      <c r="K30" s="5" t="s">
        <v>30</v>
      </c>
      <c r="L30" s="5" t="s">
        <v>78</v>
      </c>
      <c r="M30" s="5" t="s">
        <v>408</v>
      </c>
      <c r="N30" s="13" t="s">
        <v>407</v>
      </c>
      <c r="O30" s="5" t="s">
        <v>363</v>
      </c>
      <c r="P30" s="5">
        <v>2</v>
      </c>
      <c r="Q30" s="5">
        <v>0</v>
      </c>
      <c r="R30" s="5">
        <v>1</v>
      </c>
      <c r="S30" s="5" t="s">
        <v>80</v>
      </c>
      <c r="T30" s="5" t="s">
        <v>95</v>
      </c>
      <c r="U30" s="5" t="s">
        <v>77</v>
      </c>
      <c r="V30" s="5" t="s">
        <v>334</v>
      </c>
      <c r="W30" s="5" t="s">
        <v>411</v>
      </c>
      <c r="X30" s="5" t="s">
        <v>373</v>
      </c>
      <c r="Y30" s="8" t="s">
        <v>39</v>
      </c>
      <c r="Z30" s="12">
        <v>45439</v>
      </c>
      <c r="AA30" s="5" t="s">
        <v>243</v>
      </c>
      <c r="AB30" s="5"/>
      <c r="AC30" s="13" t="s">
        <v>410</v>
      </c>
      <c r="AD30" s="15">
        <f t="shared" si="0"/>
        <v>11</v>
      </c>
      <c r="AE30" s="5">
        <v>1</v>
      </c>
      <c r="AF30" s="13" t="s">
        <v>409</v>
      </c>
      <c r="AG30" s="5" t="s">
        <v>80</v>
      </c>
      <c r="AH30" s="5" t="s">
        <v>334</v>
      </c>
      <c r="AI30" s="5" t="s">
        <v>175</v>
      </c>
      <c r="AJ30" s="5" t="s">
        <v>373</v>
      </c>
      <c r="AK30" s="5"/>
      <c r="AL30" s="5"/>
      <c r="AM30" s="5"/>
      <c r="AN30" s="5" t="s">
        <v>134</v>
      </c>
      <c r="AO30" s="5" t="s">
        <v>412</v>
      </c>
      <c r="AP30" s="6"/>
    </row>
    <row r="31" spans="1:42" x14ac:dyDescent="0.25">
      <c r="A31" s="33">
        <v>508218</v>
      </c>
      <c r="B31" s="4" t="s">
        <v>8</v>
      </c>
      <c r="C31" s="5" t="s">
        <v>76</v>
      </c>
      <c r="D31" s="12">
        <v>45293</v>
      </c>
      <c r="E31" s="12">
        <v>45491</v>
      </c>
      <c r="F31" s="5" t="s">
        <v>77</v>
      </c>
      <c r="G31" s="12">
        <v>35909</v>
      </c>
      <c r="H31" s="15">
        <f t="shared" si="1"/>
        <v>25</v>
      </c>
      <c r="I31" s="5">
        <v>0</v>
      </c>
      <c r="J31" s="5">
        <v>47</v>
      </c>
      <c r="K31" s="5" t="s">
        <v>30</v>
      </c>
      <c r="L31" s="5" t="s">
        <v>78</v>
      </c>
      <c r="M31" s="27" t="s">
        <v>369</v>
      </c>
      <c r="N31" s="5" t="s">
        <v>92</v>
      </c>
      <c r="O31" s="5" t="s">
        <v>366</v>
      </c>
      <c r="P31" s="5">
        <v>2</v>
      </c>
      <c r="Q31" s="5">
        <v>0</v>
      </c>
      <c r="R31" s="5">
        <v>1</v>
      </c>
      <c r="S31" s="5" t="s">
        <v>80</v>
      </c>
      <c r="T31" s="6" t="s">
        <v>165</v>
      </c>
      <c r="U31" s="5" t="s">
        <v>78</v>
      </c>
      <c r="V31" s="5" t="s">
        <v>94</v>
      </c>
      <c r="W31" s="5" t="s">
        <v>82</v>
      </c>
      <c r="X31" s="5" t="s">
        <v>351</v>
      </c>
      <c r="Y31" s="8" t="s">
        <v>76</v>
      </c>
      <c r="Z31" s="12">
        <v>45550</v>
      </c>
      <c r="AA31" s="5" t="s">
        <v>335</v>
      </c>
      <c r="AB31" s="5" t="s">
        <v>78</v>
      </c>
      <c r="AC31" s="5" t="s">
        <v>367</v>
      </c>
      <c r="AD31" s="15">
        <f t="shared" si="0"/>
        <v>59</v>
      </c>
      <c r="AE31" s="5">
        <v>0</v>
      </c>
      <c r="AF31" s="5"/>
      <c r="AG31" s="5" t="s">
        <v>80</v>
      </c>
      <c r="AH31" s="5" t="s">
        <v>94</v>
      </c>
      <c r="AI31" s="5" t="s">
        <v>82</v>
      </c>
      <c r="AJ31" s="5" t="s">
        <v>351</v>
      </c>
      <c r="AK31" s="5"/>
      <c r="AL31" s="5"/>
      <c r="AM31" s="5"/>
      <c r="AN31" s="5" t="s">
        <v>207</v>
      </c>
      <c r="AO31" s="5" t="s">
        <v>270</v>
      </c>
      <c r="AP31" s="5" t="s">
        <v>368</v>
      </c>
    </row>
    <row r="32" spans="1:42" x14ac:dyDescent="0.25">
      <c r="A32" s="33">
        <v>509004</v>
      </c>
      <c r="B32" s="4" t="s">
        <v>8</v>
      </c>
      <c r="C32" s="5" t="s">
        <v>39</v>
      </c>
      <c r="D32" s="12">
        <v>45040</v>
      </c>
      <c r="E32" s="12">
        <v>45246</v>
      </c>
      <c r="F32" s="5" t="s">
        <v>77</v>
      </c>
      <c r="G32" s="12">
        <v>36401</v>
      </c>
      <c r="H32" s="15">
        <f t="shared" si="1"/>
        <v>23</v>
      </c>
      <c r="I32" s="5">
        <v>0</v>
      </c>
      <c r="J32" s="5">
        <v>40</v>
      </c>
      <c r="K32" s="5" t="s">
        <v>30</v>
      </c>
      <c r="L32" s="5" t="s">
        <v>78</v>
      </c>
      <c r="M32" s="5"/>
      <c r="N32" s="5" t="s">
        <v>92</v>
      </c>
      <c r="O32" s="5" t="s">
        <v>370</v>
      </c>
      <c r="P32" s="5">
        <v>2</v>
      </c>
      <c r="Q32" s="5">
        <v>0</v>
      </c>
      <c r="R32" s="5">
        <v>1</v>
      </c>
      <c r="S32" s="5" t="s">
        <v>80</v>
      </c>
      <c r="T32" s="5" t="s">
        <v>95</v>
      </c>
      <c r="U32" s="5" t="s">
        <v>78</v>
      </c>
      <c r="V32" s="5" t="s">
        <v>94</v>
      </c>
      <c r="W32" s="5" t="s">
        <v>82</v>
      </c>
      <c r="X32" s="5" t="s">
        <v>351</v>
      </c>
      <c r="Y32" s="8" t="s">
        <v>39</v>
      </c>
      <c r="Z32" s="12">
        <v>45300</v>
      </c>
      <c r="AA32" s="5" t="s">
        <v>162</v>
      </c>
      <c r="AB32" s="5" t="s">
        <v>78</v>
      </c>
      <c r="AC32" s="5" t="s">
        <v>367</v>
      </c>
      <c r="AD32" s="15">
        <f t="shared" si="0"/>
        <v>54</v>
      </c>
      <c r="AE32" s="5">
        <v>0</v>
      </c>
      <c r="AF32" s="5"/>
      <c r="AG32" s="5" t="s">
        <v>71</v>
      </c>
      <c r="AH32" s="5" t="s">
        <v>94</v>
      </c>
      <c r="AI32" s="5" t="s">
        <v>82</v>
      </c>
      <c r="AJ32" s="5" t="s">
        <v>351</v>
      </c>
      <c r="AK32" s="5"/>
      <c r="AL32" s="5"/>
      <c r="AM32" s="5"/>
      <c r="AN32" s="5" t="s">
        <v>207</v>
      </c>
      <c r="AO32" s="5" t="s">
        <v>371</v>
      </c>
      <c r="AP32" s="5" t="s">
        <v>368</v>
      </c>
    </row>
    <row r="33" spans="1:42" x14ac:dyDescent="0.25">
      <c r="A33" s="33">
        <v>509494</v>
      </c>
      <c r="B33" s="4" t="s">
        <v>8</v>
      </c>
      <c r="C33" s="5" t="s">
        <v>76</v>
      </c>
      <c r="D33" s="12">
        <v>45057</v>
      </c>
      <c r="E33" s="12">
        <v>45239</v>
      </c>
      <c r="F33" s="5" t="s">
        <v>77</v>
      </c>
      <c r="G33" s="12">
        <v>35368</v>
      </c>
      <c r="H33" s="15">
        <f t="shared" si="1"/>
        <v>26</v>
      </c>
      <c r="I33" s="5">
        <v>0</v>
      </c>
      <c r="J33" s="5">
        <v>23</v>
      </c>
      <c r="K33" s="5" t="s">
        <v>30</v>
      </c>
      <c r="L33" s="5" t="s">
        <v>78</v>
      </c>
      <c r="M33" s="5"/>
      <c r="N33" s="5" t="s">
        <v>154</v>
      </c>
      <c r="O33" s="5" t="s">
        <v>381</v>
      </c>
      <c r="P33" s="5">
        <v>2</v>
      </c>
      <c r="Q33" s="5">
        <v>0</v>
      </c>
      <c r="R33" s="5">
        <v>1</v>
      </c>
      <c r="S33" s="5" t="s">
        <v>80</v>
      </c>
      <c r="T33" s="5" t="s">
        <v>165</v>
      </c>
      <c r="U33" s="5" t="s">
        <v>78</v>
      </c>
      <c r="V33" s="5" t="s">
        <v>383</v>
      </c>
      <c r="W33" s="5" t="s">
        <v>82</v>
      </c>
      <c r="X33" s="5" t="s">
        <v>351</v>
      </c>
      <c r="Y33" s="8" t="s">
        <v>76</v>
      </c>
      <c r="Z33" s="12">
        <v>45314</v>
      </c>
      <c r="AA33" s="5" t="s">
        <v>339</v>
      </c>
      <c r="AB33" s="5" t="s">
        <v>78</v>
      </c>
      <c r="AC33" s="5" t="s">
        <v>207</v>
      </c>
      <c r="AD33" s="15">
        <f t="shared" si="0"/>
        <v>75</v>
      </c>
      <c r="AE33" s="5">
        <v>0</v>
      </c>
      <c r="AF33" s="5"/>
      <c r="AG33" s="5" t="s">
        <v>80</v>
      </c>
      <c r="AH33" s="5" t="s">
        <v>383</v>
      </c>
      <c r="AI33" s="5" t="s">
        <v>82</v>
      </c>
      <c r="AJ33" s="5" t="s">
        <v>351</v>
      </c>
      <c r="AK33" s="5"/>
      <c r="AL33" s="5"/>
      <c r="AM33" s="5"/>
      <c r="AN33" s="5" t="s">
        <v>207</v>
      </c>
      <c r="AO33" s="5" t="s">
        <v>270</v>
      </c>
      <c r="AP33" s="5" t="s">
        <v>382</v>
      </c>
    </row>
    <row r="34" spans="1:42" ht="45" x14ac:dyDescent="0.25">
      <c r="A34" s="17">
        <v>509863</v>
      </c>
      <c r="B34" s="10" t="s">
        <v>23</v>
      </c>
      <c r="C34" s="13" t="s">
        <v>39</v>
      </c>
      <c r="D34" s="12">
        <v>45082</v>
      </c>
      <c r="E34" s="12">
        <v>45286</v>
      </c>
      <c r="F34" s="5" t="s">
        <v>77</v>
      </c>
      <c r="G34" s="12">
        <v>32508</v>
      </c>
      <c r="H34" s="15">
        <f t="shared" si="1"/>
        <v>34</v>
      </c>
      <c r="I34" s="5">
        <v>2</v>
      </c>
      <c r="J34" s="5">
        <v>35</v>
      </c>
      <c r="K34" s="5" t="s">
        <v>30</v>
      </c>
      <c r="L34" s="5" t="s">
        <v>78</v>
      </c>
      <c r="M34" s="5"/>
      <c r="N34" s="5" t="s">
        <v>92</v>
      </c>
      <c r="O34" s="5" t="s">
        <v>370</v>
      </c>
      <c r="P34" s="5">
        <v>2</v>
      </c>
      <c r="Q34" s="5">
        <v>0</v>
      </c>
      <c r="R34" s="5">
        <v>1</v>
      </c>
      <c r="S34" s="5" t="s">
        <v>80</v>
      </c>
      <c r="T34" s="5" t="s">
        <v>95</v>
      </c>
      <c r="U34" s="5" t="s">
        <v>78</v>
      </c>
      <c r="V34" s="5" t="s">
        <v>210</v>
      </c>
      <c r="W34" s="5" t="s">
        <v>82</v>
      </c>
      <c r="X34" s="5" t="s">
        <v>373</v>
      </c>
      <c r="Y34" s="8" t="s">
        <v>39</v>
      </c>
      <c r="Z34" s="12">
        <v>45335</v>
      </c>
      <c r="AA34" s="5" t="s">
        <v>317</v>
      </c>
      <c r="AB34" s="5"/>
      <c r="AC34" s="13" t="s">
        <v>402</v>
      </c>
      <c r="AD34" s="15">
        <f t="shared" ref="AD34:AD65" si="2">DATEDIF(E34,Z34,"D")</f>
        <v>49</v>
      </c>
      <c r="AE34" s="5">
        <v>1</v>
      </c>
      <c r="AF34" s="13" t="s">
        <v>414</v>
      </c>
      <c r="AG34" s="5" t="s">
        <v>80</v>
      </c>
      <c r="AH34" s="5" t="s">
        <v>210</v>
      </c>
      <c r="AI34" s="5" t="s">
        <v>82</v>
      </c>
      <c r="AJ34" s="5" t="s">
        <v>373</v>
      </c>
      <c r="AK34" s="5"/>
      <c r="AL34" s="5"/>
      <c r="AM34" s="5"/>
      <c r="AN34" s="6" t="s">
        <v>413</v>
      </c>
      <c r="AO34" s="6" t="s">
        <v>277</v>
      </c>
      <c r="AP34" s="6" t="s">
        <v>134</v>
      </c>
    </row>
    <row r="35" spans="1:42" ht="90" x14ac:dyDescent="0.25">
      <c r="A35" s="34">
        <v>511597</v>
      </c>
      <c r="B35" s="10" t="s">
        <v>23</v>
      </c>
      <c r="C35" s="5" t="s">
        <v>39</v>
      </c>
      <c r="D35" s="12">
        <v>45085</v>
      </c>
      <c r="E35" s="12">
        <v>45272</v>
      </c>
      <c r="F35" s="5" t="s">
        <v>77</v>
      </c>
      <c r="G35" s="12">
        <v>31284</v>
      </c>
      <c r="H35" s="15">
        <f t="shared" si="1"/>
        <v>37</v>
      </c>
      <c r="I35" s="5">
        <v>4</v>
      </c>
      <c r="J35" s="5">
        <v>40</v>
      </c>
      <c r="K35" s="5" t="s">
        <v>30</v>
      </c>
      <c r="L35" s="5" t="s">
        <v>78</v>
      </c>
      <c r="M35" s="5" t="s">
        <v>450</v>
      </c>
      <c r="N35" s="5" t="s">
        <v>92</v>
      </c>
      <c r="O35" s="5" t="s">
        <v>392</v>
      </c>
      <c r="P35" s="5">
        <v>3</v>
      </c>
      <c r="Q35" s="5">
        <v>0</v>
      </c>
      <c r="R35" s="5">
        <v>1</v>
      </c>
      <c r="S35" s="5" t="s">
        <v>80</v>
      </c>
      <c r="T35" s="5" t="s">
        <v>95</v>
      </c>
      <c r="U35" s="5" t="s">
        <v>78</v>
      </c>
      <c r="V35" s="5" t="s">
        <v>388</v>
      </c>
      <c r="W35" s="5" t="s">
        <v>82</v>
      </c>
      <c r="X35" s="5" t="s">
        <v>373</v>
      </c>
      <c r="Y35" s="8" t="s">
        <v>39</v>
      </c>
      <c r="Z35" s="12">
        <v>45323</v>
      </c>
      <c r="AA35" s="5">
        <v>36</v>
      </c>
      <c r="AB35" s="5" t="s">
        <v>78</v>
      </c>
      <c r="AC35" s="6" t="s">
        <v>208</v>
      </c>
      <c r="AD35" s="15">
        <f t="shared" si="2"/>
        <v>51</v>
      </c>
      <c r="AE35" s="6">
        <v>2</v>
      </c>
      <c r="AF35" s="13" t="s">
        <v>508</v>
      </c>
      <c r="AG35" s="5" t="s">
        <v>84</v>
      </c>
      <c r="AH35" s="13" t="s">
        <v>451</v>
      </c>
      <c r="AI35" s="5" t="s">
        <v>82</v>
      </c>
      <c r="AJ35" s="5" t="s">
        <v>373</v>
      </c>
      <c r="AK35" s="5"/>
      <c r="AL35" s="5"/>
      <c r="AM35" s="5"/>
      <c r="AN35" s="6" t="s">
        <v>208</v>
      </c>
      <c r="AO35" s="6" t="s">
        <v>261</v>
      </c>
      <c r="AP35" s="6" t="s">
        <v>208</v>
      </c>
    </row>
    <row r="36" spans="1:42" x14ac:dyDescent="0.25">
      <c r="A36" s="34">
        <v>511761</v>
      </c>
      <c r="B36" s="10" t="s">
        <v>23</v>
      </c>
      <c r="C36" s="5" t="s">
        <v>39</v>
      </c>
      <c r="D36" s="12">
        <v>45162</v>
      </c>
      <c r="E36" s="12">
        <v>45349</v>
      </c>
      <c r="F36" s="5" t="s">
        <v>77</v>
      </c>
      <c r="G36" s="12">
        <v>29932</v>
      </c>
      <c r="H36" s="15">
        <f t="shared" si="1"/>
        <v>41</v>
      </c>
      <c r="I36" s="5">
        <v>5</v>
      </c>
      <c r="J36" s="5">
        <v>28</v>
      </c>
      <c r="K36" s="5" t="s">
        <v>30</v>
      </c>
      <c r="L36" s="5" t="s">
        <v>78</v>
      </c>
      <c r="M36" s="5" t="s">
        <v>296</v>
      </c>
      <c r="N36" s="5" t="s">
        <v>92</v>
      </c>
      <c r="O36" s="5" t="s">
        <v>392</v>
      </c>
      <c r="P36" s="5">
        <v>2</v>
      </c>
      <c r="Q36" s="5">
        <v>0</v>
      </c>
      <c r="R36" s="5">
        <v>1</v>
      </c>
      <c r="S36" s="5" t="s">
        <v>80</v>
      </c>
      <c r="T36" s="5" t="s">
        <v>95</v>
      </c>
      <c r="U36" s="5" t="s">
        <v>78</v>
      </c>
      <c r="V36" s="5" t="s">
        <v>107</v>
      </c>
      <c r="W36" s="5" t="s">
        <v>82</v>
      </c>
      <c r="X36" s="5" t="s">
        <v>373</v>
      </c>
      <c r="Y36" s="8" t="s">
        <v>39</v>
      </c>
      <c r="Z36" s="12">
        <v>45419</v>
      </c>
      <c r="AA36" s="5" t="s">
        <v>335</v>
      </c>
      <c r="AB36" s="5" t="s">
        <v>78</v>
      </c>
      <c r="AC36" s="5" t="s">
        <v>207</v>
      </c>
      <c r="AD36" s="15">
        <f t="shared" si="2"/>
        <v>70</v>
      </c>
      <c r="AE36" s="5">
        <v>0</v>
      </c>
      <c r="AF36" s="5"/>
      <c r="AG36" s="5" t="s">
        <v>71</v>
      </c>
      <c r="AH36" s="13" t="s">
        <v>107</v>
      </c>
      <c r="AI36" s="5" t="s">
        <v>82</v>
      </c>
      <c r="AJ36" s="5" t="s">
        <v>373</v>
      </c>
      <c r="AK36" s="5"/>
      <c r="AL36" s="5"/>
      <c r="AM36" s="5"/>
      <c r="AN36" s="5" t="s">
        <v>207</v>
      </c>
      <c r="AO36" s="5">
        <v>39</v>
      </c>
      <c r="AP36" s="5" t="s">
        <v>71</v>
      </c>
    </row>
    <row r="37" spans="1:42" ht="30" x14ac:dyDescent="0.25">
      <c r="A37" s="33">
        <v>511909</v>
      </c>
      <c r="B37" s="4" t="s">
        <v>8</v>
      </c>
      <c r="C37" s="5" t="s">
        <v>5</v>
      </c>
      <c r="D37" s="12">
        <v>45123</v>
      </c>
      <c r="E37" s="12">
        <v>45307</v>
      </c>
      <c r="F37" s="5" t="s">
        <v>77</v>
      </c>
      <c r="G37" s="12">
        <v>32794</v>
      </c>
      <c r="H37" s="15">
        <f t="shared" si="1"/>
        <v>33</v>
      </c>
      <c r="I37" s="5">
        <v>1</v>
      </c>
      <c r="J37" s="5">
        <v>40</v>
      </c>
      <c r="K37" s="5" t="s">
        <v>30</v>
      </c>
      <c r="L37" s="5" t="s">
        <v>78</v>
      </c>
      <c r="M37" s="5" t="s">
        <v>4</v>
      </c>
      <c r="N37" s="5"/>
      <c r="O37" s="5" t="s">
        <v>355</v>
      </c>
      <c r="P37" s="5">
        <v>2</v>
      </c>
      <c r="Q37" s="5">
        <v>0</v>
      </c>
      <c r="R37" s="5">
        <v>1</v>
      </c>
      <c r="S37" s="5" t="s">
        <v>80</v>
      </c>
      <c r="T37" s="5" t="s">
        <v>95</v>
      </c>
      <c r="U37" s="5" t="s">
        <v>78</v>
      </c>
      <c r="V37" s="13" t="s">
        <v>357</v>
      </c>
      <c r="W37" s="5" t="s">
        <v>82</v>
      </c>
      <c r="X37" s="5" t="s">
        <v>351</v>
      </c>
      <c r="Y37" s="8" t="s">
        <v>39</v>
      </c>
      <c r="Z37" s="12">
        <v>45380</v>
      </c>
      <c r="AA37" s="5" t="s">
        <v>356</v>
      </c>
      <c r="AB37" s="5" t="s">
        <v>78</v>
      </c>
      <c r="AC37" s="5" t="s">
        <v>134</v>
      </c>
      <c r="AD37" s="15">
        <f t="shared" si="2"/>
        <v>73</v>
      </c>
      <c r="AE37" s="5">
        <v>0</v>
      </c>
      <c r="AF37" s="5"/>
      <c r="AG37" s="5" t="s">
        <v>80</v>
      </c>
      <c r="AH37" s="13" t="s">
        <v>357</v>
      </c>
      <c r="AI37" s="5" t="s">
        <v>82</v>
      </c>
      <c r="AJ37" s="5" t="s">
        <v>351</v>
      </c>
      <c r="AK37" s="5"/>
      <c r="AL37" s="5"/>
      <c r="AM37" s="5"/>
      <c r="AN37" s="5" t="s">
        <v>134</v>
      </c>
      <c r="AO37" s="5" t="s">
        <v>356</v>
      </c>
      <c r="AP37" s="5"/>
    </row>
    <row r="38" spans="1:42" x14ac:dyDescent="0.25">
      <c r="A38" s="95">
        <v>512431</v>
      </c>
      <c r="B38" s="51" t="s">
        <v>7</v>
      </c>
      <c r="C38" s="51" t="s">
        <v>5</v>
      </c>
      <c r="D38" s="52">
        <v>45056</v>
      </c>
      <c r="E38" s="52">
        <v>45268</v>
      </c>
      <c r="F38" s="51" t="s">
        <v>77</v>
      </c>
      <c r="G38" s="52">
        <v>34025</v>
      </c>
      <c r="H38" s="39">
        <f t="shared" si="1"/>
        <v>30</v>
      </c>
      <c r="I38" s="51">
        <v>3</v>
      </c>
      <c r="J38" s="51">
        <v>43</v>
      </c>
      <c r="K38" s="51" t="s">
        <v>30</v>
      </c>
      <c r="L38" s="51" t="s">
        <v>78</v>
      </c>
      <c r="M38" s="51" t="s">
        <v>5</v>
      </c>
      <c r="N38" s="51" t="s">
        <v>92</v>
      </c>
      <c r="O38" s="51" t="s">
        <v>276</v>
      </c>
      <c r="P38" s="51">
        <v>2</v>
      </c>
      <c r="Q38" s="51">
        <v>0</v>
      </c>
      <c r="R38" s="51" t="s">
        <v>100</v>
      </c>
      <c r="S38" s="51" t="s">
        <v>71</v>
      </c>
      <c r="T38" s="51" t="s">
        <v>550</v>
      </c>
      <c r="U38" s="51" t="s">
        <v>78</v>
      </c>
      <c r="V38" s="51">
        <v>0</v>
      </c>
      <c r="W38" s="51" t="s">
        <v>82</v>
      </c>
      <c r="X38" s="51" t="s">
        <v>83</v>
      </c>
      <c r="Y38" s="8" t="s">
        <v>39</v>
      </c>
      <c r="Z38" s="52">
        <v>45344</v>
      </c>
      <c r="AA38" s="51" t="s">
        <v>277</v>
      </c>
      <c r="AB38" s="51" t="s">
        <v>78</v>
      </c>
      <c r="AC38" s="51" t="s">
        <v>207</v>
      </c>
      <c r="AD38" s="39">
        <f t="shared" si="2"/>
        <v>76</v>
      </c>
      <c r="AE38" s="39">
        <v>0</v>
      </c>
      <c r="AF38" s="51"/>
      <c r="AG38" s="51" t="s">
        <v>80</v>
      </c>
      <c r="AH38" s="51" t="s">
        <v>551</v>
      </c>
      <c r="AI38" s="51"/>
      <c r="AJ38" s="51"/>
      <c r="AK38" s="51"/>
      <c r="AL38" s="51"/>
      <c r="AM38" s="51"/>
      <c r="AN38" s="51" t="s">
        <v>207</v>
      </c>
      <c r="AO38" s="51" t="s">
        <v>270</v>
      </c>
      <c r="AP38" s="51" t="s">
        <v>92</v>
      </c>
    </row>
    <row r="39" spans="1:42" ht="30" x14ac:dyDescent="0.25">
      <c r="A39" s="1">
        <v>512723</v>
      </c>
      <c r="B39" s="1" t="s">
        <v>3</v>
      </c>
      <c r="C39" s="7" t="s">
        <v>5</v>
      </c>
      <c r="D39" s="12">
        <v>45080</v>
      </c>
      <c r="E39" s="12">
        <v>45278</v>
      </c>
      <c r="F39" s="5" t="s">
        <v>77</v>
      </c>
      <c r="G39" s="14">
        <v>31204</v>
      </c>
      <c r="H39" s="44">
        <f t="shared" ref="H39:H70" si="3">DATEDIF(G39,D39,"Y")</f>
        <v>37</v>
      </c>
      <c r="I39" s="6">
        <v>0</v>
      </c>
      <c r="J39" s="6">
        <v>25</v>
      </c>
      <c r="K39" s="6" t="s">
        <v>30</v>
      </c>
      <c r="L39" s="6" t="s">
        <v>78</v>
      </c>
      <c r="M39" s="13" t="s">
        <v>129</v>
      </c>
      <c r="N39" s="5" t="s">
        <v>181</v>
      </c>
      <c r="O39" s="8">
        <f>30+2/7</f>
        <v>30.285714285714285</v>
      </c>
      <c r="P39" s="5">
        <v>3</v>
      </c>
      <c r="Q39" s="5">
        <v>0</v>
      </c>
      <c r="R39" s="6" t="s">
        <v>98</v>
      </c>
      <c r="S39" s="6" t="s">
        <v>80</v>
      </c>
      <c r="T39" s="6" t="s">
        <v>95</v>
      </c>
      <c r="U39" s="5" t="s">
        <v>78</v>
      </c>
      <c r="V39" s="13" t="s">
        <v>130</v>
      </c>
      <c r="W39" s="6" t="s">
        <v>82</v>
      </c>
      <c r="X39" s="6" t="s">
        <v>83</v>
      </c>
      <c r="Y39" s="8" t="s">
        <v>39</v>
      </c>
      <c r="Z39" s="12">
        <v>45334</v>
      </c>
      <c r="AA39" s="5">
        <f>37+6/7</f>
        <v>37.857142857142854</v>
      </c>
      <c r="AB39" s="5" t="s">
        <v>78</v>
      </c>
      <c r="AC39" s="27" t="s">
        <v>124</v>
      </c>
      <c r="AD39" s="15">
        <f t="shared" si="2"/>
        <v>56</v>
      </c>
      <c r="AE39" s="15">
        <v>0</v>
      </c>
      <c r="AF39" s="5" t="s">
        <v>78</v>
      </c>
      <c r="AG39" s="6" t="s">
        <v>80</v>
      </c>
      <c r="AH39" s="13" t="s">
        <v>130</v>
      </c>
      <c r="AI39" s="6" t="s">
        <v>82</v>
      </c>
      <c r="AJ39" s="6" t="s">
        <v>83</v>
      </c>
      <c r="AK39" s="5"/>
      <c r="AL39" s="5"/>
      <c r="AM39" s="5"/>
      <c r="AN39" s="6" t="s">
        <v>207</v>
      </c>
      <c r="AO39" s="5">
        <v>38</v>
      </c>
      <c r="AP39" s="5" t="s">
        <v>269</v>
      </c>
    </row>
    <row r="40" spans="1:42" ht="30" x14ac:dyDescent="0.25">
      <c r="A40" s="34">
        <v>513490</v>
      </c>
      <c r="B40" s="10" t="s">
        <v>23</v>
      </c>
      <c r="C40" s="5" t="s">
        <v>39</v>
      </c>
      <c r="D40" s="12">
        <v>45155</v>
      </c>
      <c r="E40" s="12">
        <v>45341</v>
      </c>
      <c r="F40" s="5" t="s">
        <v>77</v>
      </c>
      <c r="G40" s="12">
        <v>31300</v>
      </c>
      <c r="H40" s="15">
        <f t="shared" si="3"/>
        <v>37</v>
      </c>
      <c r="I40" s="5">
        <v>2</v>
      </c>
      <c r="J40" s="5">
        <v>30</v>
      </c>
      <c r="K40" s="5" t="s">
        <v>30</v>
      </c>
      <c r="L40" s="5" t="s">
        <v>78</v>
      </c>
      <c r="M40" s="13" t="s">
        <v>466</v>
      </c>
      <c r="N40" s="5" t="s">
        <v>154</v>
      </c>
      <c r="O40" s="5" t="s">
        <v>355</v>
      </c>
      <c r="P40" s="5">
        <v>2</v>
      </c>
      <c r="Q40" s="5">
        <v>0</v>
      </c>
      <c r="R40" s="5">
        <v>1</v>
      </c>
      <c r="S40" s="5" t="s">
        <v>80</v>
      </c>
      <c r="T40" s="5" t="s">
        <v>95</v>
      </c>
      <c r="U40" s="5" t="s">
        <v>78</v>
      </c>
      <c r="V40" s="5" t="s">
        <v>334</v>
      </c>
      <c r="W40" s="5" t="s">
        <v>82</v>
      </c>
      <c r="X40" s="5" t="s">
        <v>373</v>
      </c>
      <c r="Y40" s="8" t="s">
        <v>39</v>
      </c>
      <c r="Z40" s="12">
        <v>45414</v>
      </c>
      <c r="AA40" s="5">
        <v>39</v>
      </c>
      <c r="AB40" s="5" t="s">
        <v>78</v>
      </c>
      <c r="AC40" s="5" t="s">
        <v>134</v>
      </c>
      <c r="AD40" s="15">
        <f t="shared" si="2"/>
        <v>73</v>
      </c>
      <c r="AE40" s="5">
        <v>0</v>
      </c>
      <c r="AF40" s="5"/>
      <c r="AG40" s="5" t="s">
        <v>80</v>
      </c>
      <c r="AH40" s="5" t="s">
        <v>334</v>
      </c>
      <c r="AI40" s="5" t="s">
        <v>82</v>
      </c>
      <c r="AJ40" s="5" t="s">
        <v>373</v>
      </c>
      <c r="AK40" s="5"/>
      <c r="AL40" s="5"/>
      <c r="AM40" s="5"/>
      <c r="AN40" s="5" t="s">
        <v>134</v>
      </c>
      <c r="AO40" s="5">
        <v>39</v>
      </c>
      <c r="AP40" s="5"/>
    </row>
    <row r="41" spans="1:42" ht="75" x14ac:dyDescent="0.25">
      <c r="A41" s="4">
        <v>513515</v>
      </c>
      <c r="B41" s="4" t="s">
        <v>8</v>
      </c>
      <c r="C41" s="5" t="s">
        <v>76</v>
      </c>
      <c r="D41" s="12">
        <v>45111</v>
      </c>
      <c r="E41" s="12">
        <v>45316</v>
      </c>
      <c r="F41" s="5" t="s">
        <v>77</v>
      </c>
      <c r="G41" s="12">
        <v>30922</v>
      </c>
      <c r="H41" s="15">
        <f t="shared" si="3"/>
        <v>38</v>
      </c>
      <c r="I41" s="49">
        <v>1</v>
      </c>
      <c r="J41" s="5">
        <v>28</v>
      </c>
      <c r="K41" s="5" t="s">
        <v>30</v>
      </c>
      <c r="L41" s="5" t="s">
        <v>78</v>
      </c>
      <c r="M41" s="13" t="s">
        <v>348</v>
      </c>
      <c r="N41" s="13" t="s">
        <v>465</v>
      </c>
      <c r="O41" s="5" t="s">
        <v>345</v>
      </c>
      <c r="P41" s="5">
        <v>2</v>
      </c>
      <c r="Q41" s="5">
        <v>0</v>
      </c>
      <c r="R41" s="5">
        <v>1</v>
      </c>
      <c r="S41" s="5" t="s">
        <v>80</v>
      </c>
      <c r="T41" s="5" t="s">
        <v>165</v>
      </c>
      <c r="U41" s="5" t="s">
        <v>78</v>
      </c>
      <c r="V41" s="5" t="s">
        <v>107</v>
      </c>
      <c r="W41" s="5" t="s">
        <v>82</v>
      </c>
      <c r="X41" s="5" t="s">
        <v>351</v>
      </c>
      <c r="Y41" s="8" t="s">
        <v>76</v>
      </c>
      <c r="Z41" s="12">
        <v>45381</v>
      </c>
      <c r="AA41" s="5" t="s">
        <v>314</v>
      </c>
      <c r="AB41" s="5" t="s">
        <v>78</v>
      </c>
      <c r="AC41" s="5" t="s">
        <v>207</v>
      </c>
      <c r="AD41" s="15">
        <f t="shared" si="2"/>
        <v>65</v>
      </c>
      <c r="AE41" s="5">
        <v>2</v>
      </c>
      <c r="AF41" s="13" t="s">
        <v>349</v>
      </c>
      <c r="AG41" s="5" t="s">
        <v>80</v>
      </c>
      <c r="AH41" s="13" t="s">
        <v>350</v>
      </c>
      <c r="AI41" s="5" t="s">
        <v>82</v>
      </c>
      <c r="AJ41" s="5" t="s">
        <v>351</v>
      </c>
      <c r="AK41" s="5"/>
      <c r="AL41" s="5"/>
      <c r="AM41" s="5"/>
      <c r="AN41" s="5" t="s">
        <v>207</v>
      </c>
      <c r="AO41" s="5" t="s">
        <v>271</v>
      </c>
      <c r="AP41" s="5" t="s">
        <v>346</v>
      </c>
    </row>
    <row r="42" spans="1:42" ht="90" x14ac:dyDescent="0.25">
      <c r="A42" s="17">
        <v>513523</v>
      </c>
      <c r="B42" s="10" t="s">
        <v>23</v>
      </c>
      <c r="C42" s="13" t="s">
        <v>76</v>
      </c>
      <c r="D42" s="12">
        <v>45171</v>
      </c>
      <c r="E42" s="12">
        <v>45412</v>
      </c>
      <c r="F42" s="5" t="s">
        <v>77</v>
      </c>
      <c r="G42" s="12">
        <v>29756</v>
      </c>
      <c r="H42" s="15">
        <f t="shared" si="3"/>
        <v>42</v>
      </c>
      <c r="I42" s="5">
        <v>2</v>
      </c>
      <c r="J42" s="5">
        <v>30</v>
      </c>
      <c r="K42" s="5" t="s">
        <v>30</v>
      </c>
      <c r="L42" s="5" t="s">
        <v>78</v>
      </c>
      <c r="M42" s="5"/>
      <c r="N42" s="5" t="s">
        <v>92</v>
      </c>
      <c r="O42" s="5" t="s">
        <v>340</v>
      </c>
      <c r="P42" s="5">
        <v>2</v>
      </c>
      <c r="Q42" s="5">
        <v>0</v>
      </c>
      <c r="R42" s="5">
        <v>1</v>
      </c>
      <c r="S42" s="5" t="s">
        <v>80</v>
      </c>
      <c r="T42" s="5" t="s">
        <v>165</v>
      </c>
      <c r="U42" s="5" t="s">
        <v>78</v>
      </c>
      <c r="V42" s="5" t="s">
        <v>210</v>
      </c>
      <c r="W42" s="5" t="s">
        <v>82</v>
      </c>
      <c r="X42" s="5" t="s">
        <v>373</v>
      </c>
      <c r="Y42" s="8" t="s">
        <v>76</v>
      </c>
      <c r="Z42" s="12">
        <v>45426</v>
      </c>
      <c r="AA42" s="5" t="s">
        <v>162</v>
      </c>
      <c r="AB42" s="5" t="s">
        <v>78</v>
      </c>
      <c r="AC42" s="13" t="s">
        <v>399</v>
      </c>
      <c r="AD42" s="15">
        <f t="shared" si="2"/>
        <v>14</v>
      </c>
      <c r="AE42" s="5">
        <v>1</v>
      </c>
      <c r="AF42" s="13" t="s">
        <v>400</v>
      </c>
      <c r="AG42" s="5" t="s">
        <v>80</v>
      </c>
      <c r="AH42" s="5" t="s">
        <v>210</v>
      </c>
      <c r="AI42" s="5" t="s">
        <v>82</v>
      </c>
      <c r="AJ42" s="5" t="s">
        <v>373</v>
      </c>
      <c r="AK42" s="5"/>
      <c r="AL42" s="13" t="s">
        <v>401</v>
      </c>
      <c r="AM42" s="5"/>
      <c r="AN42" s="5" t="s">
        <v>260</v>
      </c>
      <c r="AO42" s="5" t="s">
        <v>162</v>
      </c>
      <c r="AP42" s="5" t="s">
        <v>260</v>
      </c>
    </row>
    <row r="43" spans="1:42" ht="30" x14ac:dyDescent="0.25">
      <c r="A43" s="34">
        <v>513779</v>
      </c>
      <c r="B43" s="10" t="s">
        <v>23</v>
      </c>
      <c r="C43" s="13" t="s">
        <v>76</v>
      </c>
      <c r="D43" s="12">
        <v>45111</v>
      </c>
      <c r="E43" s="12">
        <v>45294</v>
      </c>
      <c r="F43" s="5" t="s">
        <v>77</v>
      </c>
      <c r="G43" s="12">
        <v>35061</v>
      </c>
      <c r="H43" s="15">
        <f t="shared" si="3"/>
        <v>27</v>
      </c>
      <c r="I43" s="5">
        <v>0</v>
      </c>
      <c r="J43" s="5">
        <v>29</v>
      </c>
      <c r="K43" s="5" t="s">
        <v>30</v>
      </c>
      <c r="L43" s="5" t="s">
        <v>78</v>
      </c>
      <c r="M43" s="5"/>
      <c r="N43" s="5" t="s">
        <v>92</v>
      </c>
      <c r="O43" s="5" t="s">
        <v>421</v>
      </c>
      <c r="P43" s="5">
        <v>3</v>
      </c>
      <c r="Q43" s="5">
        <v>0</v>
      </c>
      <c r="R43" s="5">
        <v>1</v>
      </c>
      <c r="S43" s="5" t="s">
        <v>80</v>
      </c>
      <c r="T43" s="5" t="s">
        <v>165</v>
      </c>
      <c r="U43" s="5" t="s">
        <v>78</v>
      </c>
      <c r="V43" s="5" t="s">
        <v>210</v>
      </c>
      <c r="W43" s="5" t="s">
        <v>82</v>
      </c>
      <c r="X43" s="5" t="s">
        <v>373</v>
      </c>
      <c r="Y43" s="8" t="s">
        <v>76</v>
      </c>
      <c r="Z43" s="12">
        <v>45356</v>
      </c>
      <c r="AA43" s="5" t="s">
        <v>264</v>
      </c>
      <c r="AB43" s="13" t="s">
        <v>220</v>
      </c>
      <c r="AC43" s="5" t="s">
        <v>433</v>
      </c>
      <c r="AD43" s="15">
        <f t="shared" si="2"/>
        <v>62</v>
      </c>
      <c r="AE43" s="5">
        <v>0</v>
      </c>
      <c r="AF43" s="5"/>
      <c r="AG43" s="5" t="s">
        <v>84</v>
      </c>
      <c r="AH43" s="5" t="s">
        <v>210</v>
      </c>
      <c r="AI43" s="5" t="s">
        <v>82</v>
      </c>
      <c r="AJ43" s="5" t="s">
        <v>435</v>
      </c>
      <c r="AK43" s="5"/>
      <c r="AL43" s="5"/>
      <c r="AM43" s="5"/>
      <c r="AN43" s="5" t="s">
        <v>328</v>
      </c>
      <c r="AO43" s="5" t="s">
        <v>290</v>
      </c>
      <c r="AP43" s="5" t="s">
        <v>436</v>
      </c>
    </row>
    <row r="44" spans="1:42" ht="45" x14ac:dyDescent="0.25">
      <c r="A44" s="33">
        <v>513820</v>
      </c>
      <c r="B44" s="4" t="s">
        <v>8</v>
      </c>
      <c r="C44" s="5" t="s">
        <v>39</v>
      </c>
      <c r="D44" s="12">
        <v>45109</v>
      </c>
      <c r="E44" s="12">
        <v>45306</v>
      </c>
      <c r="F44" s="5" t="s">
        <v>77</v>
      </c>
      <c r="G44" s="12">
        <v>33965</v>
      </c>
      <c r="H44" s="15">
        <f t="shared" si="3"/>
        <v>30</v>
      </c>
      <c r="I44" s="5">
        <v>3</v>
      </c>
      <c r="J44" s="5">
        <v>24</v>
      </c>
      <c r="K44" s="5" t="s">
        <v>30</v>
      </c>
      <c r="L44" s="5" t="s">
        <v>78</v>
      </c>
      <c r="M44" s="5" t="s">
        <v>84</v>
      </c>
      <c r="N44" s="5"/>
      <c r="O44" s="5" t="s">
        <v>375</v>
      </c>
      <c r="P44" s="5">
        <v>3</v>
      </c>
      <c r="Q44" s="5">
        <v>0</v>
      </c>
      <c r="R44" s="5">
        <v>1</v>
      </c>
      <c r="S44" s="5" t="s">
        <v>80</v>
      </c>
      <c r="T44" s="5" t="s">
        <v>95</v>
      </c>
      <c r="U44" s="5" t="s">
        <v>78</v>
      </c>
      <c r="V44" s="5" t="s">
        <v>107</v>
      </c>
      <c r="W44" s="5" t="s">
        <v>376</v>
      </c>
      <c r="X44" s="5" t="s">
        <v>351</v>
      </c>
      <c r="Y44" s="8" t="s">
        <v>39</v>
      </c>
      <c r="Z44" s="12">
        <v>45374</v>
      </c>
      <c r="AA44" s="5" t="s">
        <v>377</v>
      </c>
      <c r="AB44" s="5" t="s">
        <v>78</v>
      </c>
      <c r="AC44" s="5" t="s">
        <v>134</v>
      </c>
      <c r="AD44" s="15">
        <f t="shared" si="2"/>
        <v>68</v>
      </c>
      <c r="AE44" s="5">
        <v>0</v>
      </c>
      <c r="AF44" s="5"/>
      <c r="AG44" s="5" t="s">
        <v>80</v>
      </c>
      <c r="AH44" s="5" t="s">
        <v>107</v>
      </c>
      <c r="AI44" s="13" t="s">
        <v>379</v>
      </c>
      <c r="AJ44" s="5" t="s">
        <v>373</v>
      </c>
      <c r="AK44" s="5"/>
      <c r="AL44" s="5"/>
      <c r="AM44" s="5"/>
      <c r="AN44" s="5" t="s">
        <v>134</v>
      </c>
      <c r="AO44" s="5" t="s">
        <v>378</v>
      </c>
      <c r="AP44" s="5"/>
    </row>
    <row r="45" spans="1:42" ht="45" x14ac:dyDescent="0.25">
      <c r="A45" s="1">
        <v>514032</v>
      </c>
      <c r="B45" s="1" t="s">
        <v>3</v>
      </c>
      <c r="C45" s="7" t="s">
        <v>101</v>
      </c>
      <c r="D45" s="12">
        <v>45060</v>
      </c>
      <c r="E45" s="12">
        <v>45300</v>
      </c>
      <c r="F45" s="5" t="s">
        <v>77</v>
      </c>
      <c r="G45" s="14">
        <v>31755</v>
      </c>
      <c r="H45" s="44">
        <f t="shared" si="3"/>
        <v>36</v>
      </c>
      <c r="I45" s="6">
        <v>0</v>
      </c>
      <c r="J45" s="6">
        <v>26</v>
      </c>
      <c r="K45" s="6" t="s">
        <v>30</v>
      </c>
      <c r="L45" s="6" t="s">
        <v>78</v>
      </c>
      <c r="M45" s="5" t="s">
        <v>5</v>
      </c>
      <c r="N45" s="5" t="s">
        <v>92</v>
      </c>
      <c r="O45" s="43">
        <f>36+2/7</f>
        <v>36.285714285714285</v>
      </c>
      <c r="P45" s="5">
        <v>7</v>
      </c>
      <c r="Q45" s="5">
        <v>0</v>
      </c>
      <c r="R45" s="5" t="s">
        <v>98</v>
      </c>
      <c r="S45" s="5" t="s">
        <v>80</v>
      </c>
      <c r="T45" s="5" t="s">
        <v>95</v>
      </c>
      <c r="U45" s="5" t="s">
        <v>77</v>
      </c>
      <c r="V45" s="13" t="s">
        <v>103</v>
      </c>
      <c r="W45" s="5" t="s">
        <v>82</v>
      </c>
      <c r="X45" s="6" t="s">
        <v>105</v>
      </c>
      <c r="Y45" s="8" t="s">
        <v>127</v>
      </c>
      <c r="Z45" s="12">
        <v>45304</v>
      </c>
      <c r="AA45" s="5">
        <f>36+6/7</f>
        <v>36.857142857142854</v>
      </c>
      <c r="AB45" s="5" t="s">
        <v>78</v>
      </c>
      <c r="AC45" s="27" t="s">
        <v>124</v>
      </c>
      <c r="AD45" s="15">
        <f t="shared" si="2"/>
        <v>4</v>
      </c>
      <c r="AE45" s="15">
        <v>0</v>
      </c>
      <c r="AF45" s="5" t="s">
        <v>78</v>
      </c>
      <c r="AG45" s="5" t="s">
        <v>80</v>
      </c>
      <c r="AH45" s="13" t="s">
        <v>103</v>
      </c>
      <c r="AI45" s="5" t="s">
        <v>82</v>
      </c>
      <c r="AJ45" s="6" t="s">
        <v>106</v>
      </c>
      <c r="AK45" s="5"/>
      <c r="AL45" s="5"/>
      <c r="AM45" s="5"/>
      <c r="AN45" s="6" t="s">
        <v>207</v>
      </c>
      <c r="AO45" s="5">
        <v>37</v>
      </c>
      <c r="AP45" s="5" t="s">
        <v>4</v>
      </c>
    </row>
    <row r="46" spans="1:42" ht="120" x14ac:dyDescent="0.25">
      <c r="A46" s="34">
        <v>514329</v>
      </c>
      <c r="B46" s="10" t="s">
        <v>23</v>
      </c>
      <c r="C46" s="5" t="s">
        <v>39</v>
      </c>
      <c r="D46" s="12">
        <v>45191</v>
      </c>
      <c r="E46" s="12">
        <v>45373</v>
      </c>
      <c r="F46" s="5" t="s">
        <v>77</v>
      </c>
      <c r="G46" s="12">
        <v>30257</v>
      </c>
      <c r="H46" s="15">
        <f t="shared" si="3"/>
        <v>40</v>
      </c>
      <c r="I46" s="5">
        <v>3</v>
      </c>
      <c r="J46" s="5">
        <v>25</v>
      </c>
      <c r="K46" s="5" t="s">
        <v>30</v>
      </c>
      <c r="L46" s="5" t="s">
        <v>78</v>
      </c>
      <c r="M46" s="5"/>
      <c r="N46" s="5"/>
      <c r="O46" s="5">
        <v>28</v>
      </c>
      <c r="P46" s="5">
        <v>2</v>
      </c>
      <c r="Q46" s="5">
        <v>0</v>
      </c>
      <c r="R46" s="5">
        <v>1</v>
      </c>
      <c r="S46" s="5" t="s">
        <v>80</v>
      </c>
      <c r="T46" s="5" t="s">
        <v>95</v>
      </c>
      <c r="U46" s="5" t="s">
        <v>78</v>
      </c>
      <c r="V46" s="5" t="s">
        <v>210</v>
      </c>
      <c r="W46" s="5" t="s">
        <v>82</v>
      </c>
      <c r="X46" s="5" t="s">
        <v>373</v>
      </c>
      <c r="Y46" s="8" t="s">
        <v>39</v>
      </c>
      <c r="Z46" s="12">
        <v>45446</v>
      </c>
      <c r="AA46" s="5" t="s">
        <v>443</v>
      </c>
      <c r="AB46" s="5" t="s">
        <v>78</v>
      </c>
      <c r="AC46" s="5" t="s">
        <v>207</v>
      </c>
      <c r="AD46" s="15">
        <f t="shared" si="2"/>
        <v>73</v>
      </c>
      <c r="AE46" s="5">
        <v>3</v>
      </c>
      <c r="AF46" s="13" t="s">
        <v>442</v>
      </c>
      <c r="AG46" s="5" t="s">
        <v>80</v>
      </c>
      <c r="AH46" s="13" t="s">
        <v>321</v>
      </c>
      <c r="AI46" s="5" t="s">
        <v>82</v>
      </c>
      <c r="AJ46" s="5" t="s">
        <v>373</v>
      </c>
      <c r="AK46" s="5"/>
      <c r="AL46" s="5"/>
      <c r="AM46" s="5"/>
      <c r="AN46" s="5" t="s">
        <v>207</v>
      </c>
      <c r="AO46" s="5" t="s">
        <v>443</v>
      </c>
      <c r="AP46" s="5" t="s">
        <v>343</v>
      </c>
    </row>
    <row r="47" spans="1:42" x14ac:dyDescent="0.25">
      <c r="A47" s="33">
        <v>514559</v>
      </c>
      <c r="B47" s="4" t="s">
        <v>8</v>
      </c>
      <c r="C47" s="5" t="s">
        <v>39</v>
      </c>
      <c r="D47" s="12">
        <v>45162</v>
      </c>
      <c r="E47" s="12">
        <v>45344</v>
      </c>
      <c r="F47" s="5" t="s">
        <v>77</v>
      </c>
      <c r="G47" s="12">
        <v>33741</v>
      </c>
      <c r="H47" s="15">
        <f t="shared" si="3"/>
        <v>31</v>
      </c>
      <c r="I47" s="5">
        <v>0</v>
      </c>
      <c r="J47" s="5">
        <v>37</v>
      </c>
      <c r="K47" s="5" t="s">
        <v>30</v>
      </c>
      <c r="L47" s="5" t="s">
        <v>78</v>
      </c>
      <c r="M47" s="5" t="s">
        <v>39</v>
      </c>
      <c r="N47" s="5" t="s">
        <v>92</v>
      </c>
      <c r="O47" s="5" t="s">
        <v>386</v>
      </c>
      <c r="P47" s="5">
        <v>2</v>
      </c>
      <c r="Q47" s="5">
        <v>0</v>
      </c>
      <c r="R47" s="5">
        <v>1</v>
      </c>
      <c r="S47" s="5" t="s">
        <v>80</v>
      </c>
      <c r="T47" s="5" t="s">
        <v>95</v>
      </c>
      <c r="U47" s="5" t="s">
        <v>78</v>
      </c>
      <c r="V47" s="5" t="s">
        <v>388</v>
      </c>
      <c r="W47" s="5" t="s">
        <v>82</v>
      </c>
      <c r="X47" s="5" t="s">
        <v>351</v>
      </c>
      <c r="Y47" s="8" t="s">
        <v>39</v>
      </c>
      <c r="Z47" s="12">
        <v>45419</v>
      </c>
      <c r="AA47" s="5" t="s">
        <v>335</v>
      </c>
      <c r="AB47" s="5" t="s">
        <v>78</v>
      </c>
      <c r="AC47" s="5" t="s">
        <v>387</v>
      </c>
      <c r="AD47" s="15">
        <f t="shared" si="2"/>
        <v>75</v>
      </c>
      <c r="AE47" s="5">
        <v>0</v>
      </c>
      <c r="AF47" s="5"/>
      <c r="AG47" s="5" t="s">
        <v>300</v>
      </c>
      <c r="AH47" s="5" t="s">
        <v>388</v>
      </c>
      <c r="AI47" s="5" t="s">
        <v>82</v>
      </c>
      <c r="AJ47" s="5" t="s">
        <v>351</v>
      </c>
      <c r="AK47" s="5"/>
      <c r="AL47" s="5"/>
      <c r="AM47" s="5"/>
      <c r="AN47" s="5" t="s">
        <v>207</v>
      </c>
      <c r="AO47" s="5" t="s">
        <v>270</v>
      </c>
      <c r="AP47" s="5" t="s">
        <v>368</v>
      </c>
    </row>
    <row r="48" spans="1:42" ht="45" x14ac:dyDescent="0.25">
      <c r="A48" s="34">
        <v>514593</v>
      </c>
      <c r="B48" s="10" t="s">
        <v>23</v>
      </c>
      <c r="C48" s="5" t="s">
        <v>76</v>
      </c>
      <c r="D48" s="12">
        <v>45107</v>
      </c>
      <c r="E48" s="12">
        <v>45351</v>
      </c>
      <c r="F48" s="5" t="s">
        <v>77</v>
      </c>
      <c r="G48" s="12">
        <v>31708</v>
      </c>
      <c r="H48" s="15">
        <f t="shared" si="3"/>
        <v>36</v>
      </c>
      <c r="I48" s="5">
        <v>1</v>
      </c>
      <c r="J48" s="5">
        <v>33</v>
      </c>
      <c r="K48" s="5" t="s">
        <v>30</v>
      </c>
      <c r="L48" s="5" t="s">
        <v>78</v>
      </c>
      <c r="M48" s="13" t="s">
        <v>454</v>
      </c>
      <c r="N48" s="5" t="s">
        <v>92</v>
      </c>
      <c r="O48" s="5" t="s">
        <v>104</v>
      </c>
      <c r="P48" s="5">
        <v>3</v>
      </c>
      <c r="Q48" s="5">
        <v>0</v>
      </c>
      <c r="R48" s="5">
        <v>1</v>
      </c>
      <c r="S48" s="5" t="s">
        <v>84</v>
      </c>
      <c r="T48" s="5" t="s">
        <v>165</v>
      </c>
      <c r="U48" s="5" t="s">
        <v>78</v>
      </c>
      <c r="V48" s="5" t="s">
        <v>334</v>
      </c>
      <c r="W48" s="5" t="s">
        <v>82</v>
      </c>
      <c r="X48" s="5" t="s">
        <v>373</v>
      </c>
      <c r="Y48" s="8" t="s">
        <v>76</v>
      </c>
      <c r="Z48" s="12">
        <v>45364</v>
      </c>
      <c r="AA48" s="5" t="s">
        <v>339</v>
      </c>
      <c r="AB48" s="5" t="s">
        <v>78</v>
      </c>
      <c r="AC48" s="5" t="s">
        <v>207</v>
      </c>
      <c r="AD48" s="15">
        <f t="shared" si="2"/>
        <v>13</v>
      </c>
      <c r="AE48" s="5">
        <v>0</v>
      </c>
      <c r="AF48" s="5"/>
      <c r="AG48" s="5" t="s">
        <v>84</v>
      </c>
      <c r="AH48" s="5" t="s">
        <v>210</v>
      </c>
      <c r="AI48" s="5" t="s">
        <v>82</v>
      </c>
      <c r="AJ48" s="5" t="s">
        <v>373</v>
      </c>
      <c r="AK48" s="5"/>
      <c r="AL48" s="5"/>
      <c r="AM48" s="5"/>
      <c r="AN48" s="5" t="s">
        <v>207</v>
      </c>
      <c r="AO48" s="5">
        <v>39</v>
      </c>
      <c r="AP48" s="5"/>
    </row>
    <row r="49" spans="1:42" ht="45" x14ac:dyDescent="0.25">
      <c r="A49" s="1">
        <v>514682</v>
      </c>
      <c r="B49" s="1" t="s">
        <v>3</v>
      </c>
      <c r="C49" s="7" t="s">
        <v>39</v>
      </c>
      <c r="D49" s="12">
        <v>45096</v>
      </c>
      <c r="E49" s="12">
        <v>45313</v>
      </c>
      <c r="F49" s="5" t="s">
        <v>77</v>
      </c>
      <c r="G49" s="14">
        <v>33985</v>
      </c>
      <c r="H49" s="44">
        <f t="shared" si="3"/>
        <v>30</v>
      </c>
      <c r="I49" s="6">
        <v>0</v>
      </c>
      <c r="J49" s="6">
        <v>25</v>
      </c>
      <c r="K49" s="6" t="s">
        <v>30</v>
      </c>
      <c r="L49" s="6" t="s">
        <v>78</v>
      </c>
      <c r="M49" s="5" t="s">
        <v>5</v>
      </c>
      <c r="N49" s="5" t="s">
        <v>92</v>
      </c>
      <c r="O49" s="8">
        <f>33</f>
        <v>33</v>
      </c>
      <c r="P49" s="5">
        <v>3</v>
      </c>
      <c r="Q49" s="5">
        <v>0</v>
      </c>
      <c r="R49" s="5" t="s">
        <v>98</v>
      </c>
      <c r="S49" s="5" t="s">
        <v>80</v>
      </c>
      <c r="T49" s="5" t="s">
        <v>95</v>
      </c>
      <c r="U49" s="5" t="s">
        <v>78</v>
      </c>
      <c r="V49" s="6" t="s">
        <v>94</v>
      </c>
      <c r="W49" s="5" t="s">
        <v>82</v>
      </c>
      <c r="X49" s="5" t="s">
        <v>83</v>
      </c>
      <c r="Y49" s="8" t="s">
        <v>39</v>
      </c>
      <c r="Z49" s="12">
        <v>45336</v>
      </c>
      <c r="AA49" s="5">
        <f>36+2/7</f>
        <v>36.285714285714285</v>
      </c>
      <c r="AB49" s="5" t="s">
        <v>4</v>
      </c>
      <c r="AC49" s="13" t="s">
        <v>492</v>
      </c>
      <c r="AD49" s="15">
        <f t="shared" si="2"/>
        <v>23</v>
      </c>
      <c r="AE49" s="15">
        <v>1</v>
      </c>
      <c r="AF49" s="5" t="s">
        <v>84</v>
      </c>
      <c r="AG49" s="27" t="s">
        <v>84</v>
      </c>
      <c r="AH49" s="6" t="s">
        <v>94</v>
      </c>
      <c r="AI49" s="5" t="s">
        <v>82</v>
      </c>
      <c r="AJ49" s="6" t="s">
        <v>96</v>
      </c>
      <c r="AK49" s="5"/>
      <c r="AL49" s="27"/>
      <c r="AM49" s="5"/>
      <c r="AN49" s="6" t="s">
        <v>493</v>
      </c>
      <c r="AO49" s="6" t="s">
        <v>494</v>
      </c>
      <c r="AP49" s="6" t="s">
        <v>495</v>
      </c>
    </row>
    <row r="50" spans="1:42" ht="30" x14ac:dyDescent="0.25">
      <c r="A50" s="30">
        <v>515293</v>
      </c>
      <c r="B50" s="9" t="s">
        <v>7</v>
      </c>
      <c r="C50" s="36" t="s">
        <v>5</v>
      </c>
      <c r="D50" s="12">
        <v>45177</v>
      </c>
      <c r="E50" s="12">
        <v>45377</v>
      </c>
      <c r="F50" s="5" t="s">
        <v>77</v>
      </c>
      <c r="G50" s="12">
        <v>30038</v>
      </c>
      <c r="H50" s="15">
        <f t="shared" si="3"/>
        <v>41</v>
      </c>
      <c r="I50" s="5">
        <v>1</v>
      </c>
      <c r="J50" s="5">
        <v>25</v>
      </c>
      <c r="K50" s="5" t="s">
        <v>223</v>
      </c>
      <c r="L50" s="5" t="s">
        <v>176</v>
      </c>
      <c r="M50" s="13" t="s">
        <v>304</v>
      </c>
      <c r="N50" s="13" t="s">
        <v>463</v>
      </c>
      <c r="O50" s="5" t="s">
        <v>306</v>
      </c>
      <c r="P50" s="5">
        <v>3</v>
      </c>
      <c r="Q50" s="5">
        <v>1</v>
      </c>
      <c r="R50" s="5" t="s">
        <v>98</v>
      </c>
      <c r="S50" s="5" t="s">
        <v>305</v>
      </c>
      <c r="T50" s="5" t="s">
        <v>165</v>
      </c>
      <c r="U50" s="5" t="s">
        <v>77</v>
      </c>
      <c r="V50" s="13" t="s">
        <v>173</v>
      </c>
      <c r="W50" s="5" t="s">
        <v>82</v>
      </c>
      <c r="X50" s="5" t="s">
        <v>83</v>
      </c>
      <c r="Y50" s="46" t="s">
        <v>5</v>
      </c>
      <c r="Z50" s="12">
        <v>45395</v>
      </c>
      <c r="AA50" s="5" t="s">
        <v>258</v>
      </c>
      <c r="AB50" s="5" t="s">
        <v>78</v>
      </c>
      <c r="AC50" s="5" t="s">
        <v>260</v>
      </c>
      <c r="AD50" s="15">
        <f t="shared" si="2"/>
        <v>18</v>
      </c>
      <c r="AE50" s="15">
        <v>1</v>
      </c>
      <c r="AF50" s="13" t="s">
        <v>307</v>
      </c>
      <c r="AG50" s="5" t="s">
        <v>305</v>
      </c>
      <c r="AH50" s="13" t="s">
        <v>173</v>
      </c>
      <c r="AI50" s="5" t="s">
        <v>82</v>
      </c>
      <c r="AJ50" s="5" t="s">
        <v>83</v>
      </c>
      <c r="AK50" s="5"/>
      <c r="AL50" s="5"/>
      <c r="AM50" s="5"/>
      <c r="AN50" s="6" t="s">
        <v>260</v>
      </c>
      <c r="AO50" s="6" t="s">
        <v>258</v>
      </c>
      <c r="AP50" s="6" t="s">
        <v>260</v>
      </c>
    </row>
    <row r="51" spans="1:42" ht="105" x14ac:dyDescent="0.25">
      <c r="A51" s="30">
        <v>515336</v>
      </c>
      <c r="B51" s="9" t="s">
        <v>7</v>
      </c>
      <c r="C51" s="7" t="s">
        <v>336</v>
      </c>
      <c r="D51" s="12">
        <v>45150</v>
      </c>
      <c r="E51" s="12">
        <v>45328</v>
      </c>
      <c r="F51" s="5" t="s">
        <v>77</v>
      </c>
      <c r="G51" s="12">
        <v>34722</v>
      </c>
      <c r="H51" s="15">
        <f t="shared" si="3"/>
        <v>28</v>
      </c>
      <c r="I51" s="5">
        <v>0</v>
      </c>
      <c r="J51" s="5">
        <v>37</v>
      </c>
      <c r="K51" s="5" t="s">
        <v>228</v>
      </c>
      <c r="L51" s="5" t="s">
        <v>229</v>
      </c>
      <c r="M51" s="5"/>
      <c r="N51" s="5" t="s">
        <v>92</v>
      </c>
      <c r="O51" s="5" t="s">
        <v>140</v>
      </c>
      <c r="P51" s="5">
        <v>2</v>
      </c>
      <c r="Q51" s="5">
        <v>1</v>
      </c>
      <c r="R51" s="5" t="s">
        <v>98</v>
      </c>
      <c r="S51" s="5" t="s">
        <v>80</v>
      </c>
      <c r="T51" s="5" t="s">
        <v>227</v>
      </c>
      <c r="U51" s="5" t="s">
        <v>77</v>
      </c>
      <c r="V51" s="5" t="s">
        <v>94</v>
      </c>
      <c r="W51" s="5" t="s">
        <v>82</v>
      </c>
      <c r="X51" s="6" t="s">
        <v>83</v>
      </c>
      <c r="Y51" s="8" t="s">
        <v>6</v>
      </c>
      <c r="Z51" s="12">
        <v>45385</v>
      </c>
      <c r="AA51" s="5">
        <v>36</v>
      </c>
      <c r="AB51" s="5" t="s">
        <v>78</v>
      </c>
      <c r="AC51" s="5" t="s">
        <v>207</v>
      </c>
      <c r="AD51" s="15">
        <f t="shared" si="2"/>
        <v>57</v>
      </c>
      <c r="AE51" s="15">
        <v>2</v>
      </c>
      <c r="AF51" s="13" t="s">
        <v>231</v>
      </c>
      <c r="AG51" s="5" t="s">
        <v>80</v>
      </c>
      <c r="AH51" s="5" t="s">
        <v>94</v>
      </c>
      <c r="AI51" s="5" t="s">
        <v>82</v>
      </c>
      <c r="AJ51" s="13" t="s">
        <v>230</v>
      </c>
      <c r="AK51" s="5"/>
      <c r="AL51" s="5"/>
      <c r="AM51" s="5"/>
      <c r="AN51" s="5" t="s">
        <v>207</v>
      </c>
      <c r="AO51" s="5">
        <v>36</v>
      </c>
      <c r="AP51" s="5" t="s">
        <v>4</v>
      </c>
    </row>
    <row r="52" spans="1:42" ht="45" x14ac:dyDescent="0.25">
      <c r="A52" s="30">
        <v>515419</v>
      </c>
      <c r="B52" s="9" t="s">
        <v>7</v>
      </c>
      <c r="C52" s="7" t="s">
        <v>4</v>
      </c>
      <c r="D52" s="12">
        <v>45464</v>
      </c>
      <c r="E52" s="12">
        <v>45324</v>
      </c>
      <c r="F52" s="5" t="s">
        <v>77</v>
      </c>
      <c r="G52" s="12">
        <v>30853</v>
      </c>
      <c r="H52" s="15">
        <f t="shared" si="3"/>
        <v>40</v>
      </c>
      <c r="I52" s="5">
        <v>0</v>
      </c>
      <c r="J52" s="5">
        <v>29</v>
      </c>
      <c r="K52" s="5" t="s">
        <v>223</v>
      </c>
      <c r="L52" s="5" t="s">
        <v>78</v>
      </c>
      <c r="M52" s="5"/>
      <c r="N52" s="5" t="s">
        <v>78</v>
      </c>
      <c r="O52" s="5" t="s">
        <v>202</v>
      </c>
      <c r="P52" s="5">
        <v>2</v>
      </c>
      <c r="Q52" s="5">
        <v>1</v>
      </c>
      <c r="R52" s="5" t="s">
        <v>98</v>
      </c>
      <c r="S52" s="5" t="s">
        <v>80</v>
      </c>
      <c r="T52" s="6" t="s">
        <v>93</v>
      </c>
      <c r="U52" s="5" t="s">
        <v>77</v>
      </c>
      <c r="V52" s="5" t="s">
        <v>94</v>
      </c>
      <c r="W52" s="13" t="s">
        <v>224</v>
      </c>
      <c r="X52" s="5" t="s">
        <v>225</v>
      </c>
      <c r="Y52" s="8" t="s">
        <v>4</v>
      </c>
      <c r="Z52" s="12">
        <v>45345</v>
      </c>
      <c r="AA52" s="5" t="s">
        <v>104</v>
      </c>
      <c r="AB52" s="5" t="s">
        <v>78</v>
      </c>
      <c r="AC52" s="5" t="s">
        <v>207</v>
      </c>
      <c r="AD52" s="15">
        <f t="shared" si="2"/>
        <v>21</v>
      </c>
      <c r="AE52" s="15">
        <v>0</v>
      </c>
      <c r="AF52" s="5" t="s">
        <v>78</v>
      </c>
      <c r="AG52" s="5" t="s">
        <v>80</v>
      </c>
      <c r="AH52" s="5" t="s">
        <v>94</v>
      </c>
      <c r="AI52" s="6" t="s">
        <v>82</v>
      </c>
      <c r="AJ52" s="13" t="s">
        <v>226</v>
      </c>
      <c r="AK52" s="5"/>
      <c r="AL52" s="5"/>
      <c r="AM52" s="5"/>
      <c r="AN52" s="5" t="s">
        <v>207</v>
      </c>
      <c r="AO52" s="5" t="s">
        <v>290</v>
      </c>
      <c r="AP52" s="5" t="s">
        <v>4</v>
      </c>
    </row>
    <row r="53" spans="1:42" ht="45" x14ac:dyDescent="0.25">
      <c r="A53" s="30">
        <v>515555</v>
      </c>
      <c r="B53" s="9" t="s">
        <v>7</v>
      </c>
      <c r="C53" s="36" t="s">
        <v>4</v>
      </c>
      <c r="D53" s="12">
        <v>45472</v>
      </c>
      <c r="E53" s="12">
        <v>45345</v>
      </c>
      <c r="F53" s="5" t="s">
        <v>77</v>
      </c>
      <c r="G53" s="12">
        <v>36510</v>
      </c>
      <c r="H53" s="15">
        <f t="shared" si="3"/>
        <v>24</v>
      </c>
      <c r="I53" s="5">
        <v>0</v>
      </c>
      <c r="J53" s="5">
        <v>33</v>
      </c>
      <c r="K53" s="5" t="s">
        <v>30</v>
      </c>
      <c r="L53" s="5" t="s">
        <v>78</v>
      </c>
      <c r="M53" s="5"/>
      <c r="N53" s="13" t="s">
        <v>462</v>
      </c>
      <c r="O53" s="5" t="s">
        <v>288</v>
      </c>
      <c r="P53" s="5">
        <v>3</v>
      </c>
      <c r="Q53" s="5">
        <v>1</v>
      </c>
      <c r="R53" s="5" t="s">
        <v>98</v>
      </c>
      <c r="S53" s="5" t="s">
        <v>84</v>
      </c>
      <c r="T53" s="5" t="s">
        <v>165</v>
      </c>
      <c r="U53" s="5" t="s">
        <v>78</v>
      </c>
      <c r="V53" s="13" t="s">
        <v>286</v>
      </c>
      <c r="W53" s="13" t="s">
        <v>292</v>
      </c>
      <c r="X53" s="5" t="s">
        <v>294</v>
      </c>
      <c r="Y53" s="46" t="s">
        <v>4</v>
      </c>
      <c r="Z53" s="12">
        <v>45350</v>
      </c>
      <c r="AA53" s="5" t="s">
        <v>104</v>
      </c>
      <c r="AB53" s="5" t="s">
        <v>78</v>
      </c>
      <c r="AC53" s="5" t="s">
        <v>207</v>
      </c>
      <c r="AD53" s="15">
        <f t="shared" si="2"/>
        <v>5</v>
      </c>
      <c r="AE53" s="15">
        <v>1</v>
      </c>
      <c r="AF53" s="13" t="s">
        <v>289</v>
      </c>
      <c r="AG53" s="5" t="s">
        <v>287</v>
      </c>
      <c r="AH53" s="5" t="s">
        <v>94</v>
      </c>
      <c r="AI53" s="13" t="s">
        <v>293</v>
      </c>
      <c r="AJ53" s="5" t="s">
        <v>291</v>
      </c>
      <c r="AK53" s="5"/>
      <c r="AL53" s="5"/>
      <c r="AM53" s="5"/>
      <c r="AN53" s="5" t="s">
        <v>207</v>
      </c>
      <c r="AO53" s="5" t="s">
        <v>290</v>
      </c>
      <c r="AP53" s="5" t="s">
        <v>84</v>
      </c>
    </row>
    <row r="54" spans="1:42" ht="60" x14ac:dyDescent="0.25">
      <c r="A54" s="32">
        <v>516095</v>
      </c>
      <c r="B54" s="4" t="s">
        <v>8</v>
      </c>
      <c r="C54" s="5" t="s">
        <v>5</v>
      </c>
      <c r="D54" s="12">
        <v>45547</v>
      </c>
      <c r="E54" s="12">
        <v>45411</v>
      </c>
      <c r="F54" s="5" t="s">
        <v>77</v>
      </c>
      <c r="G54" s="12">
        <v>32157</v>
      </c>
      <c r="H54" s="15">
        <f t="shared" si="3"/>
        <v>36</v>
      </c>
      <c r="I54" s="5">
        <v>0</v>
      </c>
      <c r="J54" s="5">
        <v>23</v>
      </c>
      <c r="K54" s="5" t="s">
        <v>30</v>
      </c>
      <c r="L54" s="5" t="s">
        <v>78</v>
      </c>
      <c r="M54" s="5"/>
      <c r="N54" s="5"/>
      <c r="O54" s="5" t="s">
        <v>354</v>
      </c>
      <c r="P54" s="5">
        <v>2</v>
      </c>
      <c r="Q54" s="5">
        <v>0</v>
      </c>
      <c r="R54" s="5">
        <v>1</v>
      </c>
      <c r="S54" s="5" t="s">
        <v>80</v>
      </c>
      <c r="T54" s="5" t="s">
        <v>95</v>
      </c>
      <c r="U54" s="5" t="s">
        <v>77</v>
      </c>
      <c r="V54" s="13" t="s">
        <v>88</v>
      </c>
      <c r="W54" s="5" t="s">
        <v>82</v>
      </c>
      <c r="X54" s="5" t="s">
        <v>351</v>
      </c>
      <c r="Y54" s="8" t="s">
        <v>39</v>
      </c>
      <c r="Z54" s="12">
        <v>45422</v>
      </c>
      <c r="AA54" s="5" t="s">
        <v>340</v>
      </c>
      <c r="AB54" s="5" t="s">
        <v>78</v>
      </c>
      <c r="AC54" s="5" t="s">
        <v>352</v>
      </c>
      <c r="AD54" s="15">
        <f t="shared" si="2"/>
        <v>11</v>
      </c>
      <c r="AE54" s="13">
        <v>0</v>
      </c>
      <c r="AF54" s="13" t="s">
        <v>353</v>
      </c>
      <c r="AG54" s="5" t="s">
        <v>80</v>
      </c>
      <c r="AH54" s="13" t="s">
        <v>88</v>
      </c>
      <c r="AI54" s="5" t="s">
        <v>82</v>
      </c>
      <c r="AJ54" s="5" t="s">
        <v>351</v>
      </c>
      <c r="AK54" s="5"/>
      <c r="AL54" s="5"/>
      <c r="AM54" s="5"/>
      <c r="AN54" s="6"/>
      <c r="AO54" s="6"/>
      <c r="AP54" s="6"/>
    </row>
    <row r="55" spans="1:42" ht="60" x14ac:dyDescent="0.25">
      <c r="A55" s="30">
        <v>516202</v>
      </c>
      <c r="B55" s="9" t="s">
        <v>7</v>
      </c>
      <c r="C55" s="7" t="s">
        <v>4</v>
      </c>
      <c r="D55" s="12">
        <v>45126</v>
      </c>
      <c r="E55" s="12">
        <v>45343</v>
      </c>
      <c r="F55" s="5" t="s">
        <v>77</v>
      </c>
      <c r="G55" s="12">
        <v>28194</v>
      </c>
      <c r="H55" s="15">
        <f t="shared" si="3"/>
        <v>46</v>
      </c>
      <c r="I55" s="5">
        <v>0</v>
      </c>
      <c r="J55" s="6">
        <v>23</v>
      </c>
      <c r="K55" s="5" t="s">
        <v>223</v>
      </c>
      <c r="L55" s="5" t="s">
        <v>78</v>
      </c>
      <c r="M55" s="13" t="s">
        <v>246</v>
      </c>
      <c r="N55" s="5" t="s">
        <v>78</v>
      </c>
      <c r="O55" s="5">
        <v>33</v>
      </c>
      <c r="P55" s="5">
        <v>2</v>
      </c>
      <c r="Q55" s="5">
        <v>1</v>
      </c>
      <c r="R55" s="5" t="s">
        <v>102</v>
      </c>
      <c r="S55" s="5" t="s">
        <v>80</v>
      </c>
      <c r="T55" s="6" t="s">
        <v>245</v>
      </c>
      <c r="U55" s="5" t="s">
        <v>78</v>
      </c>
      <c r="V55" s="27" t="s">
        <v>128</v>
      </c>
      <c r="W55" s="6" t="s">
        <v>82</v>
      </c>
      <c r="X55" s="6" t="s">
        <v>248</v>
      </c>
      <c r="Y55" s="8" t="s">
        <v>4</v>
      </c>
      <c r="Z55" s="12">
        <v>45355</v>
      </c>
      <c r="AA55" s="5" t="s">
        <v>308</v>
      </c>
      <c r="AB55" s="5" t="s">
        <v>78</v>
      </c>
      <c r="AC55" s="13" t="s">
        <v>244</v>
      </c>
      <c r="AD55" s="15">
        <f t="shared" si="2"/>
        <v>12</v>
      </c>
      <c r="AE55" s="15">
        <v>0</v>
      </c>
      <c r="AF55" s="5"/>
      <c r="AG55" s="5" t="s">
        <v>80</v>
      </c>
      <c r="AH55" s="27" t="s">
        <v>128</v>
      </c>
      <c r="AI55" s="5" t="s">
        <v>82</v>
      </c>
      <c r="AJ55" s="5" t="s">
        <v>247</v>
      </c>
      <c r="AK55" s="5"/>
      <c r="AL55" s="5"/>
      <c r="AM55" s="5"/>
      <c r="AN55" s="5" t="s">
        <v>329</v>
      </c>
      <c r="AO55" s="5" t="s">
        <v>308</v>
      </c>
      <c r="AP55" s="5" t="s">
        <v>4</v>
      </c>
    </row>
    <row r="56" spans="1:42" ht="60" x14ac:dyDescent="0.25">
      <c r="A56" s="34">
        <v>516747</v>
      </c>
      <c r="B56" s="10" t="s">
        <v>23</v>
      </c>
      <c r="C56" s="5" t="s">
        <v>39</v>
      </c>
      <c r="D56" s="12">
        <v>45211</v>
      </c>
      <c r="E56" s="12">
        <v>45417</v>
      </c>
      <c r="F56" s="5" t="s">
        <v>77</v>
      </c>
      <c r="G56" s="12">
        <v>33454</v>
      </c>
      <c r="H56" s="15">
        <f t="shared" si="3"/>
        <v>32</v>
      </c>
      <c r="I56" s="5">
        <v>3</v>
      </c>
      <c r="J56" s="5">
        <v>48</v>
      </c>
      <c r="K56" s="5" t="s">
        <v>30</v>
      </c>
      <c r="L56" s="5" t="s">
        <v>78</v>
      </c>
      <c r="M56" s="5"/>
      <c r="N56" s="5" t="s">
        <v>154</v>
      </c>
      <c r="O56" s="5" t="s">
        <v>242</v>
      </c>
      <c r="P56" s="5">
        <v>2</v>
      </c>
      <c r="Q56" s="5">
        <v>0</v>
      </c>
      <c r="R56" s="5">
        <v>1</v>
      </c>
      <c r="S56" s="5" t="s">
        <v>71</v>
      </c>
      <c r="T56" s="5" t="s">
        <v>95</v>
      </c>
      <c r="U56" s="5" t="s">
        <v>78</v>
      </c>
      <c r="V56" s="5" t="s">
        <v>94</v>
      </c>
      <c r="W56" s="5" t="s">
        <v>82</v>
      </c>
      <c r="X56" s="5" t="s">
        <v>373</v>
      </c>
      <c r="Y56" s="8" t="s">
        <v>39</v>
      </c>
      <c r="Z56" s="12">
        <v>45466</v>
      </c>
      <c r="AA56" s="5" t="s">
        <v>162</v>
      </c>
      <c r="AB56" s="5" t="s">
        <v>78</v>
      </c>
      <c r="AC56" s="5" t="s">
        <v>134</v>
      </c>
      <c r="AD56" s="15">
        <f t="shared" si="2"/>
        <v>49</v>
      </c>
      <c r="AE56" s="5">
        <v>1</v>
      </c>
      <c r="AF56" s="13" t="s">
        <v>406</v>
      </c>
      <c r="AG56" s="5" t="s">
        <v>71</v>
      </c>
      <c r="AH56" s="5" t="s">
        <v>94</v>
      </c>
      <c r="AI56" s="5" t="s">
        <v>82</v>
      </c>
      <c r="AJ56" s="5" t="s">
        <v>373</v>
      </c>
      <c r="AK56" s="5"/>
      <c r="AL56" s="13"/>
      <c r="AM56" s="5"/>
      <c r="AN56" s="5" t="s">
        <v>134</v>
      </c>
      <c r="AO56" s="5" t="s">
        <v>162</v>
      </c>
      <c r="AP56" s="5"/>
    </row>
    <row r="57" spans="1:42" ht="90" x14ac:dyDescent="0.25">
      <c r="A57" s="31">
        <v>516775</v>
      </c>
      <c r="B57" s="9" t="s">
        <v>7</v>
      </c>
      <c r="C57" s="36" t="s">
        <v>76</v>
      </c>
      <c r="D57" s="12">
        <v>45179</v>
      </c>
      <c r="E57" s="12">
        <v>45356</v>
      </c>
      <c r="F57" s="5" t="s">
        <v>77</v>
      </c>
      <c r="G57" s="12">
        <v>30928</v>
      </c>
      <c r="H57" s="15">
        <f t="shared" si="3"/>
        <v>39</v>
      </c>
      <c r="I57" s="5">
        <v>2</v>
      </c>
      <c r="J57" s="5">
        <v>38</v>
      </c>
      <c r="K57" s="5" t="s">
        <v>30</v>
      </c>
      <c r="L57" s="5" t="s">
        <v>78</v>
      </c>
      <c r="M57" s="5" t="s">
        <v>296</v>
      </c>
      <c r="N57" s="5"/>
      <c r="O57" s="5" t="s">
        <v>295</v>
      </c>
      <c r="P57" s="5">
        <v>2</v>
      </c>
      <c r="Q57" s="5">
        <v>1</v>
      </c>
      <c r="R57" s="5" t="s">
        <v>98</v>
      </c>
      <c r="S57" s="5" t="s">
        <v>80</v>
      </c>
      <c r="T57" s="5" t="s">
        <v>165</v>
      </c>
      <c r="U57" s="5" t="s">
        <v>78</v>
      </c>
      <c r="V57" s="5" t="s">
        <v>94</v>
      </c>
      <c r="W57" s="5" t="s">
        <v>82</v>
      </c>
      <c r="X57" s="13" t="s">
        <v>297</v>
      </c>
      <c r="Y57" s="8" t="s">
        <v>76</v>
      </c>
      <c r="Z57" s="12">
        <v>45415</v>
      </c>
      <c r="AA57" s="6" t="s">
        <v>288</v>
      </c>
      <c r="AB57" s="5" t="s">
        <v>4</v>
      </c>
      <c r="AC57" s="5" t="s">
        <v>298</v>
      </c>
      <c r="AD57" s="15">
        <f t="shared" si="2"/>
        <v>59</v>
      </c>
      <c r="AE57" s="15">
        <v>2</v>
      </c>
      <c r="AF57" s="13" t="s">
        <v>299</v>
      </c>
      <c r="AG57" s="5" t="s">
        <v>300</v>
      </c>
      <c r="AH57" s="5" t="s">
        <v>94</v>
      </c>
      <c r="AI57" s="5" t="s">
        <v>82</v>
      </c>
      <c r="AJ57" s="5" t="s">
        <v>301</v>
      </c>
      <c r="AK57" s="5"/>
      <c r="AL57" s="5"/>
      <c r="AM57" s="5"/>
      <c r="AN57" s="55" t="s">
        <v>302</v>
      </c>
      <c r="AO57" s="197" t="s">
        <v>278</v>
      </c>
      <c r="AP57" s="55" t="s">
        <v>303</v>
      </c>
    </row>
    <row r="58" spans="1:42" ht="30" x14ac:dyDescent="0.25">
      <c r="A58" s="31">
        <v>516943</v>
      </c>
      <c r="B58" s="9" t="s">
        <v>7</v>
      </c>
      <c r="C58" s="7" t="s">
        <v>4</v>
      </c>
      <c r="D58" s="12">
        <v>45120</v>
      </c>
      <c r="E58" s="12">
        <v>45355</v>
      </c>
      <c r="F58" s="5" t="s">
        <v>77</v>
      </c>
      <c r="G58" s="12">
        <v>34022</v>
      </c>
      <c r="H58" s="15">
        <f t="shared" si="3"/>
        <v>30</v>
      </c>
      <c r="I58" s="5">
        <v>0</v>
      </c>
      <c r="J58" s="5">
        <v>23</v>
      </c>
      <c r="K58" s="5" t="s">
        <v>30</v>
      </c>
      <c r="L58" s="5" t="s">
        <v>78</v>
      </c>
      <c r="M58" s="5"/>
      <c r="N58" s="13" t="s">
        <v>284</v>
      </c>
      <c r="O58" s="5" t="s">
        <v>278</v>
      </c>
      <c r="P58" s="5">
        <v>2</v>
      </c>
      <c r="Q58" s="5">
        <v>2</v>
      </c>
      <c r="R58" s="5" t="s">
        <v>98</v>
      </c>
      <c r="S58" s="5" t="s">
        <v>279</v>
      </c>
      <c r="T58" s="5" t="s">
        <v>165</v>
      </c>
      <c r="U58" s="5" t="s">
        <v>78</v>
      </c>
      <c r="V58" s="5" t="s">
        <v>94</v>
      </c>
      <c r="W58" s="6" t="s">
        <v>82</v>
      </c>
      <c r="X58" s="5" t="s">
        <v>285</v>
      </c>
      <c r="Y58" s="8" t="s">
        <v>4</v>
      </c>
      <c r="Z58" s="12">
        <v>45359</v>
      </c>
      <c r="AA58" s="5" t="s">
        <v>280</v>
      </c>
      <c r="AB58" s="5" t="s">
        <v>78</v>
      </c>
      <c r="AC58" s="5" t="s">
        <v>260</v>
      </c>
      <c r="AD58" s="15">
        <f t="shared" si="2"/>
        <v>4</v>
      </c>
      <c r="AE58" s="15">
        <v>1</v>
      </c>
      <c r="AF58" s="5" t="s">
        <v>281</v>
      </c>
      <c r="AG58" s="5" t="s">
        <v>84</v>
      </c>
      <c r="AH58" s="5" t="s">
        <v>94</v>
      </c>
      <c r="AI58" s="6" t="s">
        <v>82</v>
      </c>
      <c r="AJ58" s="5" t="s">
        <v>283</v>
      </c>
      <c r="AK58" s="5"/>
      <c r="AL58" s="5"/>
      <c r="AM58" s="5"/>
      <c r="AN58" s="5" t="s">
        <v>282</v>
      </c>
      <c r="AO58" s="5" t="s">
        <v>280</v>
      </c>
      <c r="AP58" s="5" t="s">
        <v>260</v>
      </c>
    </row>
    <row r="59" spans="1:42" ht="30" x14ac:dyDescent="0.25">
      <c r="A59" s="34">
        <v>517108</v>
      </c>
      <c r="B59" s="10" t="s">
        <v>23</v>
      </c>
      <c r="C59" s="5" t="s">
        <v>39</v>
      </c>
      <c r="D59" s="12">
        <v>45246</v>
      </c>
      <c r="E59" s="12">
        <v>45427</v>
      </c>
      <c r="F59" s="5" t="s">
        <v>77</v>
      </c>
      <c r="G59" s="12">
        <v>36326</v>
      </c>
      <c r="H59" s="15">
        <f t="shared" si="3"/>
        <v>24</v>
      </c>
      <c r="I59" s="5">
        <v>1</v>
      </c>
      <c r="J59" s="5">
        <v>33</v>
      </c>
      <c r="K59" s="5" t="s">
        <v>30</v>
      </c>
      <c r="L59" s="5" t="s">
        <v>78</v>
      </c>
      <c r="M59" s="5" t="s">
        <v>296</v>
      </c>
      <c r="N59" s="13" t="s">
        <v>456</v>
      </c>
      <c r="O59" s="5">
        <v>28</v>
      </c>
      <c r="P59" s="5">
        <v>3</v>
      </c>
      <c r="Q59" s="5">
        <v>0</v>
      </c>
      <c r="R59" s="5">
        <v>1</v>
      </c>
      <c r="S59" s="5" t="s">
        <v>84</v>
      </c>
      <c r="T59" s="5" t="s">
        <v>95</v>
      </c>
      <c r="U59" s="5" t="s">
        <v>77</v>
      </c>
      <c r="V59" s="5" t="s">
        <v>455</v>
      </c>
      <c r="W59" s="5" t="s">
        <v>82</v>
      </c>
      <c r="X59" s="5" t="s">
        <v>373</v>
      </c>
      <c r="Y59" s="8" t="s">
        <v>39</v>
      </c>
      <c r="Z59" s="12">
        <v>45477</v>
      </c>
      <c r="AA59" s="5">
        <v>35</v>
      </c>
      <c r="AB59" s="5" t="s">
        <v>4</v>
      </c>
      <c r="AC59" s="27" t="s">
        <v>444</v>
      </c>
      <c r="AD59" s="15">
        <f t="shared" si="2"/>
        <v>50</v>
      </c>
      <c r="AE59" s="5">
        <v>1</v>
      </c>
      <c r="AF59" s="5"/>
      <c r="AG59" s="5" t="s">
        <v>84</v>
      </c>
      <c r="AH59" s="5" t="s">
        <v>455</v>
      </c>
      <c r="AI59" s="5" t="s">
        <v>82</v>
      </c>
      <c r="AJ59" s="5" t="s">
        <v>423</v>
      </c>
      <c r="AK59" s="5"/>
      <c r="AL59" s="5"/>
      <c r="AM59" s="5"/>
      <c r="AN59" s="56" t="s">
        <v>207</v>
      </c>
      <c r="AO59" s="157" t="s">
        <v>457</v>
      </c>
      <c r="AP59" s="157" t="s">
        <v>4</v>
      </c>
    </row>
    <row r="60" spans="1:42" x14ac:dyDescent="0.25">
      <c r="A60" s="34">
        <v>517195</v>
      </c>
      <c r="B60" s="10" t="s">
        <v>23</v>
      </c>
      <c r="C60" s="13" t="s">
        <v>39</v>
      </c>
      <c r="D60" s="12">
        <v>45240</v>
      </c>
      <c r="E60" s="12">
        <v>45422</v>
      </c>
      <c r="F60" s="5" t="s">
        <v>77</v>
      </c>
      <c r="G60" s="12">
        <v>32263</v>
      </c>
      <c r="H60" s="15">
        <f t="shared" si="3"/>
        <v>35</v>
      </c>
      <c r="I60" s="5">
        <v>1</v>
      </c>
      <c r="J60" s="5">
        <v>48</v>
      </c>
      <c r="K60" s="5" t="s">
        <v>30</v>
      </c>
      <c r="L60" s="5" t="s">
        <v>78</v>
      </c>
      <c r="M60" s="5" t="s">
        <v>39</v>
      </c>
      <c r="N60" s="5" t="s">
        <v>84</v>
      </c>
      <c r="O60" s="5">
        <v>28</v>
      </c>
      <c r="P60" s="5">
        <v>2</v>
      </c>
      <c r="Q60" s="5">
        <v>0</v>
      </c>
      <c r="R60" s="5">
        <v>1</v>
      </c>
      <c r="S60" s="5" t="s">
        <v>80</v>
      </c>
      <c r="T60" s="5" t="s">
        <v>95</v>
      </c>
      <c r="U60" s="5" t="s">
        <v>78</v>
      </c>
      <c r="V60" s="5" t="s">
        <v>210</v>
      </c>
      <c r="W60" s="5" t="s">
        <v>82</v>
      </c>
      <c r="X60" s="5" t="s">
        <v>373</v>
      </c>
      <c r="Y60" s="8" t="s">
        <v>39</v>
      </c>
      <c r="Z60" s="12">
        <v>45498</v>
      </c>
      <c r="AA60" s="5" t="s">
        <v>339</v>
      </c>
      <c r="AB60" s="5" t="s">
        <v>78</v>
      </c>
      <c r="AC60" s="5" t="s">
        <v>207</v>
      </c>
      <c r="AD60" s="15">
        <f t="shared" si="2"/>
        <v>76</v>
      </c>
      <c r="AE60" s="5">
        <v>0</v>
      </c>
      <c r="AF60" s="5"/>
      <c r="AG60" s="5" t="s">
        <v>80</v>
      </c>
      <c r="AH60" s="5" t="s">
        <v>210</v>
      </c>
      <c r="AI60" s="5" t="s">
        <v>82</v>
      </c>
      <c r="AJ60" s="5" t="s">
        <v>373</v>
      </c>
      <c r="AK60" s="5"/>
      <c r="AL60" s="5"/>
      <c r="AM60" s="5"/>
      <c r="AN60" s="5" t="s">
        <v>207</v>
      </c>
      <c r="AO60" s="5" t="s">
        <v>270</v>
      </c>
      <c r="AP60" s="5" t="s">
        <v>437</v>
      </c>
    </row>
    <row r="61" spans="1:42" ht="45" x14ac:dyDescent="0.25">
      <c r="A61" s="34">
        <v>517489</v>
      </c>
      <c r="B61" s="10" t="s">
        <v>23</v>
      </c>
      <c r="C61" s="5" t="s">
        <v>39</v>
      </c>
      <c r="D61" s="12">
        <v>45289</v>
      </c>
      <c r="E61" s="12">
        <v>45484</v>
      </c>
      <c r="F61" s="5" t="s">
        <v>78</v>
      </c>
      <c r="G61" s="12">
        <v>31058</v>
      </c>
      <c r="H61" s="15">
        <f t="shared" si="3"/>
        <v>38</v>
      </c>
      <c r="I61" s="5">
        <v>4</v>
      </c>
      <c r="J61" s="5">
        <v>38</v>
      </c>
      <c r="K61" s="5" t="s">
        <v>30</v>
      </c>
      <c r="L61" s="5" t="s">
        <v>78</v>
      </c>
      <c r="M61" s="5" t="s">
        <v>39</v>
      </c>
      <c r="N61" s="5" t="s">
        <v>92</v>
      </c>
      <c r="O61" s="5" t="s">
        <v>430</v>
      </c>
      <c r="P61" s="5">
        <v>2</v>
      </c>
      <c r="Q61" s="5">
        <v>0</v>
      </c>
      <c r="R61" s="5">
        <v>1</v>
      </c>
      <c r="S61" s="5" t="s">
        <v>80</v>
      </c>
      <c r="T61" s="5" t="s">
        <v>95</v>
      </c>
      <c r="U61" s="5" t="s">
        <v>78</v>
      </c>
      <c r="V61" s="5" t="s">
        <v>94</v>
      </c>
      <c r="W61" s="5" t="s">
        <v>82</v>
      </c>
      <c r="X61" s="5" t="s">
        <v>373</v>
      </c>
      <c r="Y61" s="8" t="s">
        <v>39</v>
      </c>
      <c r="Z61" s="12">
        <v>45540</v>
      </c>
      <c r="AA61" s="5" t="s">
        <v>314</v>
      </c>
      <c r="AB61" s="5" t="s">
        <v>78</v>
      </c>
      <c r="AC61" s="5" t="s">
        <v>207</v>
      </c>
      <c r="AD61" s="15">
        <f t="shared" si="2"/>
        <v>56</v>
      </c>
      <c r="AE61" s="5">
        <v>0</v>
      </c>
      <c r="AF61" s="5"/>
      <c r="AG61" s="5" t="s">
        <v>71</v>
      </c>
      <c r="AH61" s="5" t="s">
        <v>94</v>
      </c>
      <c r="AI61" s="13" t="s">
        <v>490</v>
      </c>
      <c r="AJ61" s="5" t="s">
        <v>373</v>
      </c>
      <c r="AK61" s="5"/>
      <c r="AL61" s="5"/>
      <c r="AM61" s="5"/>
      <c r="AN61" s="6" t="s">
        <v>207</v>
      </c>
      <c r="AO61" s="5" t="s">
        <v>271</v>
      </c>
      <c r="AP61" s="13" t="s">
        <v>489</v>
      </c>
    </row>
    <row r="62" spans="1:42" ht="30" x14ac:dyDescent="0.25">
      <c r="A62" s="29">
        <v>517507</v>
      </c>
      <c r="B62" s="9" t="s">
        <v>7</v>
      </c>
      <c r="C62" s="36" t="s">
        <v>5</v>
      </c>
      <c r="D62" s="12">
        <v>45153</v>
      </c>
      <c r="E62" s="12">
        <v>45366</v>
      </c>
      <c r="F62" s="5" t="s">
        <v>77</v>
      </c>
      <c r="G62" s="12">
        <v>32604</v>
      </c>
      <c r="H62" s="15">
        <f t="shared" si="3"/>
        <v>34</v>
      </c>
      <c r="I62" s="5">
        <v>3</v>
      </c>
      <c r="J62" s="5">
        <v>34</v>
      </c>
      <c r="K62" s="5" t="s">
        <v>30</v>
      </c>
      <c r="L62" s="5" t="s">
        <v>78</v>
      </c>
      <c r="M62" s="5" t="s">
        <v>5</v>
      </c>
      <c r="N62" s="5" t="s">
        <v>92</v>
      </c>
      <c r="O62" s="5" t="s">
        <v>206</v>
      </c>
      <c r="P62" s="5">
        <v>2</v>
      </c>
      <c r="Q62" s="5">
        <v>1</v>
      </c>
      <c r="R62" s="6" t="s">
        <v>98</v>
      </c>
      <c r="S62" s="5" t="s">
        <v>80</v>
      </c>
      <c r="T62" s="6" t="s">
        <v>95</v>
      </c>
      <c r="U62" s="5" t="s">
        <v>78</v>
      </c>
      <c r="V62" s="13" t="s">
        <v>163</v>
      </c>
      <c r="W62" s="6" t="s">
        <v>82</v>
      </c>
      <c r="X62" s="6" t="s">
        <v>83</v>
      </c>
      <c r="Y62" s="8" t="s">
        <v>5</v>
      </c>
      <c r="Z62" s="12">
        <v>45398</v>
      </c>
      <c r="AA62" s="5">
        <v>37</v>
      </c>
      <c r="AB62" s="5" t="s">
        <v>78</v>
      </c>
      <c r="AC62" s="5" t="s">
        <v>207</v>
      </c>
      <c r="AD62" s="15">
        <f t="shared" si="2"/>
        <v>32</v>
      </c>
      <c r="AE62" s="15">
        <v>0</v>
      </c>
      <c r="AF62" s="5" t="s">
        <v>78</v>
      </c>
      <c r="AG62" s="5" t="s">
        <v>80</v>
      </c>
      <c r="AH62" s="13" t="s">
        <v>163</v>
      </c>
      <c r="AI62" s="6" t="s">
        <v>82</v>
      </c>
      <c r="AJ62" s="6" t="s">
        <v>83</v>
      </c>
      <c r="AK62" s="5"/>
      <c r="AL62" s="5"/>
      <c r="AM62" s="5"/>
      <c r="AN62" s="5" t="s">
        <v>207</v>
      </c>
      <c r="AO62" s="5" t="s">
        <v>264</v>
      </c>
      <c r="AP62" s="5" t="s">
        <v>4</v>
      </c>
    </row>
    <row r="63" spans="1:42" ht="75" x14ac:dyDescent="0.25">
      <c r="A63" s="29">
        <v>517666</v>
      </c>
      <c r="B63" s="9" t="s">
        <v>7</v>
      </c>
      <c r="C63" s="7" t="s">
        <v>5</v>
      </c>
      <c r="D63" s="12">
        <v>45161</v>
      </c>
      <c r="E63" s="12">
        <v>45376</v>
      </c>
      <c r="F63" s="5" t="s">
        <v>77</v>
      </c>
      <c r="G63" s="12">
        <v>30331</v>
      </c>
      <c r="H63" s="15">
        <f t="shared" si="3"/>
        <v>40</v>
      </c>
      <c r="I63" s="5">
        <v>4</v>
      </c>
      <c r="J63" s="6">
        <v>39</v>
      </c>
      <c r="K63" s="6" t="s">
        <v>30</v>
      </c>
      <c r="L63" s="5" t="s">
        <v>78</v>
      </c>
      <c r="M63" s="5" t="s">
        <v>5</v>
      </c>
      <c r="N63" s="5" t="s">
        <v>78</v>
      </c>
      <c r="O63" s="5" t="s">
        <v>258</v>
      </c>
      <c r="P63" s="5">
        <v>7</v>
      </c>
      <c r="Q63" s="5">
        <v>1</v>
      </c>
      <c r="R63" s="6" t="s">
        <v>98</v>
      </c>
      <c r="S63" s="5" t="s">
        <v>80</v>
      </c>
      <c r="T63" s="6" t="s">
        <v>95</v>
      </c>
      <c r="U63" s="5" t="s">
        <v>78</v>
      </c>
      <c r="V63" s="13" t="s">
        <v>273</v>
      </c>
      <c r="W63" s="6" t="s">
        <v>82</v>
      </c>
      <c r="X63" s="6" t="s">
        <v>83</v>
      </c>
      <c r="Y63" s="8" t="s">
        <v>5</v>
      </c>
      <c r="Z63" s="12">
        <v>45399</v>
      </c>
      <c r="AA63" s="5">
        <v>36</v>
      </c>
      <c r="AB63" s="5" t="s">
        <v>78</v>
      </c>
      <c r="AC63" s="13" t="s">
        <v>259</v>
      </c>
      <c r="AD63" s="15">
        <f t="shared" si="2"/>
        <v>23</v>
      </c>
      <c r="AE63" s="15">
        <v>2</v>
      </c>
      <c r="AF63" s="13" t="s">
        <v>274</v>
      </c>
      <c r="AG63" s="6" t="s">
        <v>84</v>
      </c>
      <c r="AH63" s="13" t="s">
        <v>173</v>
      </c>
      <c r="AI63" s="6" t="s">
        <v>82</v>
      </c>
      <c r="AJ63" s="6" t="s">
        <v>275</v>
      </c>
      <c r="AK63" s="5"/>
      <c r="AL63" s="5"/>
      <c r="AM63" s="5"/>
      <c r="AN63" s="5" t="s">
        <v>260</v>
      </c>
      <c r="AO63" s="5" t="s">
        <v>261</v>
      </c>
      <c r="AP63" s="5" t="s">
        <v>260</v>
      </c>
    </row>
    <row r="64" spans="1:42" ht="45" x14ac:dyDescent="0.25">
      <c r="A64" s="1">
        <v>517696</v>
      </c>
      <c r="B64" s="1" t="s">
        <v>3</v>
      </c>
      <c r="C64" s="7" t="s">
        <v>6</v>
      </c>
      <c r="D64" s="12">
        <v>45209</v>
      </c>
      <c r="E64" s="12">
        <v>45373</v>
      </c>
      <c r="F64" s="5" t="s">
        <v>77</v>
      </c>
      <c r="G64" s="14">
        <v>29937</v>
      </c>
      <c r="H64" s="44">
        <f t="shared" si="3"/>
        <v>41</v>
      </c>
      <c r="I64" s="6">
        <v>0</v>
      </c>
      <c r="J64" s="6">
        <v>18</v>
      </c>
      <c r="K64" s="6" t="s">
        <v>135</v>
      </c>
      <c r="L64" s="6" t="s">
        <v>78</v>
      </c>
      <c r="M64" s="5"/>
      <c r="N64" s="5" t="s">
        <v>136</v>
      </c>
      <c r="O64" s="2">
        <f>25+2/7</f>
        <v>25.285714285714285</v>
      </c>
      <c r="P64" s="5">
        <v>3</v>
      </c>
      <c r="Q64" s="5">
        <v>0</v>
      </c>
      <c r="R64" s="6" t="s">
        <v>98</v>
      </c>
      <c r="S64" s="6" t="s">
        <v>137</v>
      </c>
      <c r="T64" s="6" t="s">
        <v>165</v>
      </c>
      <c r="U64" s="5" t="s">
        <v>77</v>
      </c>
      <c r="V64" s="5" t="s">
        <v>94</v>
      </c>
      <c r="W64" s="6" t="s">
        <v>82</v>
      </c>
      <c r="X64" s="6" t="s">
        <v>83</v>
      </c>
      <c r="Y64" s="8" t="s">
        <v>76</v>
      </c>
      <c r="Z64" s="12">
        <v>45373</v>
      </c>
      <c r="AA64" s="5">
        <f>25+2/7</f>
        <v>25.285714285714285</v>
      </c>
      <c r="AB64" s="5"/>
      <c r="AC64" s="27" t="s">
        <v>138</v>
      </c>
      <c r="AD64" s="15">
        <f t="shared" si="2"/>
        <v>0</v>
      </c>
      <c r="AE64" s="15">
        <v>1</v>
      </c>
      <c r="AF64" s="5"/>
      <c r="AG64" s="6" t="s">
        <v>137</v>
      </c>
      <c r="AH64" s="5"/>
      <c r="AI64" s="5"/>
      <c r="AJ64" s="5"/>
      <c r="AK64" s="5"/>
      <c r="AL64" s="5"/>
      <c r="AM64" s="5"/>
      <c r="AN64" s="6" t="s">
        <v>260</v>
      </c>
      <c r="AO64" s="6" t="s">
        <v>497</v>
      </c>
      <c r="AP64" s="6" t="s">
        <v>84</v>
      </c>
    </row>
    <row r="65" spans="1:42" ht="30" x14ac:dyDescent="0.25">
      <c r="A65" s="1">
        <v>518247</v>
      </c>
      <c r="B65" s="1" t="s">
        <v>3</v>
      </c>
      <c r="C65" s="7" t="s">
        <v>4</v>
      </c>
      <c r="D65" s="12">
        <v>45159</v>
      </c>
      <c r="E65" s="12">
        <v>45380</v>
      </c>
      <c r="F65" s="5" t="s">
        <v>77</v>
      </c>
      <c r="G65" s="14">
        <v>35276</v>
      </c>
      <c r="H65" s="44">
        <f t="shared" si="3"/>
        <v>27</v>
      </c>
      <c r="I65" s="6">
        <v>0</v>
      </c>
      <c r="J65" s="6">
        <v>28</v>
      </c>
      <c r="K65" s="6" t="s">
        <v>30</v>
      </c>
      <c r="L65" s="6" t="s">
        <v>78</v>
      </c>
      <c r="M65" s="5"/>
      <c r="N65" s="5" t="s">
        <v>84</v>
      </c>
      <c r="O65" s="8">
        <f>33+4/7</f>
        <v>33.571428571428569</v>
      </c>
      <c r="P65" s="5">
        <v>7</v>
      </c>
      <c r="Q65" s="5">
        <v>0</v>
      </c>
      <c r="R65" s="6" t="s">
        <v>102</v>
      </c>
      <c r="S65" s="6" t="s">
        <v>84</v>
      </c>
      <c r="T65" s="6" t="s">
        <v>199</v>
      </c>
      <c r="U65" s="5" t="s">
        <v>77</v>
      </c>
      <c r="V65" s="13" t="s">
        <v>156</v>
      </c>
      <c r="W65" s="6" t="s">
        <v>82</v>
      </c>
      <c r="X65" s="6" t="s">
        <v>198</v>
      </c>
      <c r="Y65" s="8" t="s">
        <v>4</v>
      </c>
      <c r="Z65" s="12">
        <v>45394</v>
      </c>
      <c r="AA65" s="5">
        <f>35+4/7</f>
        <v>35.571428571428569</v>
      </c>
      <c r="AB65" s="5" t="s">
        <v>78</v>
      </c>
      <c r="AC65" s="6" t="s">
        <v>180</v>
      </c>
      <c r="AD65" s="15">
        <f t="shared" si="2"/>
        <v>14</v>
      </c>
      <c r="AE65" s="15">
        <v>0</v>
      </c>
      <c r="AF65" s="5" t="s">
        <v>78</v>
      </c>
      <c r="AG65" s="6" t="s">
        <v>84</v>
      </c>
      <c r="AH65" s="13" t="s">
        <v>173</v>
      </c>
      <c r="AI65" s="6" t="s">
        <v>200</v>
      </c>
      <c r="AJ65" s="6" t="s">
        <v>201</v>
      </c>
      <c r="AK65" s="5"/>
      <c r="AL65" s="5"/>
      <c r="AM65" s="5"/>
      <c r="AN65" s="5" t="s">
        <v>134</v>
      </c>
      <c r="AO65" s="5" t="s">
        <v>311</v>
      </c>
      <c r="AP65" s="5"/>
    </row>
    <row r="66" spans="1:42" ht="30" x14ac:dyDescent="0.25">
      <c r="A66" s="34">
        <v>518267</v>
      </c>
      <c r="B66" s="10" t="s">
        <v>23</v>
      </c>
      <c r="C66" s="5" t="s">
        <v>39</v>
      </c>
      <c r="D66" s="12">
        <v>45245</v>
      </c>
      <c r="E66" s="12">
        <v>45428</v>
      </c>
      <c r="F66" s="5" t="s">
        <v>77</v>
      </c>
      <c r="G66" s="12">
        <v>31506</v>
      </c>
      <c r="H66" s="15">
        <f t="shared" si="3"/>
        <v>37</v>
      </c>
      <c r="I66" s="5">
        <v>1</v>
      </c>
      <c r="J66" s="5">
        <v>30</v>
      </c>
      <c r="K66" s="5" t="s">
        <v>30</v>
      </c>
      <c r="L66" s="5" t="s">
        <v>78</v>
      </c>
      <c r="M66" s="5"/>
      <c r="N66" s="5" t="s">
        <v>484</v>
      </c>
      <c r="O66" s="5" t="s">
        <v>421</v>
      </c>
      <c r="P66" s="5">
        <v>3</v>
      </c>
      <c r="Q66" s="5">
        <v>0</v>
      </c>
      <c r="R66" s="5">
        <v>1</v>
      </c>
      <c r="S66" s="5" t="s">
        <v>84</v>
      </c>
      <c r="T66" s="5" t="s">
        <v>95</v>
      </c>
      <c r="U66" s="5" t="s">
        <v>208</v>
      </c>
      <c r="V66" s="13" t="s">
        <v>483</v>
      </c>
      <c r="W66" s="5" t="s">
        <v>82</v>
      </c>
      <c r="X66" s="5" t="s">
        <v>373</v>
      </c>
      <c r="Y66" s="8" t="s">
        <v>39</v>
      </c>
      <c r="Z66" s="12">
        <v>45484</v>
      </c>
      <c r="AA66" s="5" t="s">
        <v>278</v>
      </c>
      <c r="AB66" s="5" t="s">
        <v>4</v>
      </c>
      <c r="AC66" s="5" t="s">
        <v>328</v>
      </c>
      <c r="AD66" s="15">
        <f t="shared" ref="AD66:AD97" si="4">DATEDIF(E66,Z66,"D")</f>
        <v>56</v>
      </c>
      <c r="AE66" s="5">
        <v>1</v>
      </c>
      <c r="AF66" s="5" t="s">
        <v>127</v>
      </c>
      <c r="AG66" s="5" t="s">
        <v>84</v>
      </c>
      <c r="AH66" s="13" t="s">
        <v>173</v>
      </c>
      <c r="AI66" s="5" t="s">
        <v>82</v>
      </c>
      <c r="AJ66" s="5" t="s">
        <v>485</v>
      </c>
      <c r="AK66" s="5"/>
      <c r="AL66" s="5"/>
      <c r="AM66" s="5"/>
      <c r="AN66" s="6" t="s">
        <v>328</v>
      </c>
      <c r="AO66" s="6" t="s">
        <v>278</v>
      </c>
      <c r="AP66" s="6" t="s">
        <v>4</v>
      </c>
    </row>
    <row r="67" spans="1:42" x14ac:dyDescent="0.25">
      <c r="A67" s="33">
        <v>518318</v>
      </c>
      <c r="B67" s="4" t="s">
        <v>8</v>
      </c>
      <c r="C67" s="5" t="s">
        <v>39</v>
      </c>
      <c r="D67" s="12">
        <v>45239</v>
      </c>
      <c r="E67" s="12">
        <v>45420</v>
      </c>
      <c r="F67" s="5" t="s">
        <v>77</v>
      </c>
      <c r="G67" s="12">
        <v>30496</v>
      </c>
      <c r="H67" s="15">
        <f t="shared" si="3"/>
        <v>40</v>
      </c>
      <c r="I67" s="5">
        <v>4</v>
      </c>
      <c r="J67" s="5">
        <v>31</v>
      </c>
      <c r="K67" s="5" t="s">
        <v>30</v>
      </c>
      <c r="L67" s="5" t="s">
        <v>78</v>
      </c>
      <c r="M67" s="5" t="s">
        <v>39</v>
      </c>
      <c r="N67" s="5" t="s">
        <v>154</v>
      </c>
      <c r="O67" s="5" t="s">
        <v>365</v>
      </c>
      <c r="P67" s="5">
        <v>2</v>
      </c>
      <c r="Q67" s="5">
        <v>0</v>
      </c>
      <c r="R67" s="5">
        <v>1</v>
      </c>
      <c r="S67" s="5" t="s">
        <v>80</v>
      </c>
      <c r="T67" s="5" t="s">
        <v>95</v>
      </c>
      <c r="U67" s="5" t="s">
        <v>78</v>
      </c>
      <c r="V67" s="5" t="s">
        <v>107</v>
      </c>
      <c r="W67" s="5" t="s">
        <v>82</v>
      </c>
      <c r="X67" s="5" t="s">
        <v>351</v>
      </c>
      <c r="Y67" s="8" t="s">
        <v>39</v>
      </c>
      <c r="Z67" s="12">
        <v>45506</v>
      </c>
      <c r="AA67" s="5" t="s">
        <v>356</v>
      </c>
      <c r="AB67" s="5" t="s">
        <v>78</v>
      </c>
      <c r="AC67" s="5" t="s">
        <v>134</v>
      </c>
      <c r="AD67" s="15">
        <f t="shared" si="4"/>
        <v>86</v>
      </c>
      <c r="AE67" s="5">
        <v>0</v>
      </c>
      <c r="AF67" s="5"/>
      <c r="AG67" s="5" t="s">
        <v>80</v>
      </c>
      <c r="AH67" s="5"/>
      <c r="AI67" s="5" t="s">
        <v>82</v>
      </c>
      <c r="AJ67" s="5" t="s">
        <v>351</v>
      </c>
      <c r="AK67" s="5"/>
      <c r="AL67" s="5"/>
      <c r="AM67" s="5"/>
      <c r="AN67" s="5" t="s">
        <v>134</v>
      </c>
      <c r="AO67" s="5" t="s">
        <v>356</v>
      </c>
      <c r="AP67" s="5"/>
    </row>
    <row r="68" spans="1:42" ht="30" x14ac:dyDescent="0.25">
      <c r="A68" s="34">
        <v>518701</v>
      </c>
      <c r="B68" s="10" t="s">
        <v>23</v>
      </c>
      <c r="C68" s="13" t="s">
        <v>39</v>
      </c>
      <c r="D68" s="12">
        <v>45263</v>
      </c>
      <c r="E68" s="12">
        <v>45450</v>
      </c>
      <c r="F68" s="5" t="s">
        <v>77</v>
      </c>
      <c r="G68" s="12">
        <v>29768</v>
      </c>
      <c r="H68" s="15">
        <f t="shared" si="3"/>
        <v>42</v>
      </c>
      <c r="I68" s="5">
        <v>0</v>
      </c>
      <c r="J68" s="5">
        <v>30</v>
      </c>
      <c r="K68" s="5" t="s">
        <v>223</v>
      </c>
      <c r="L68" s="5" t="s">
        <v>78</v>
      </c>
      <c r="M68" s="5"/>
      <c r="N68" s="5" t="s">
        <v>181</v>
      </c>
      <c r="O68" s="5" t="s">
        <v>392</v>
      </c>
      <c r="P68" s="5">
        <v>2</v>
      </c>
      <c r="Q68" s="5">
        <v>0</v>
      </c>
      <c r="R68" s="5">
        <v>1</v>
      </c>
      <c r="S68" s="5" t="s">
        <v>80</v>
      </c>
      <c r="T68" s="5" t="s">
        <v>95</v>
      </c>
      <c r="U68" s="5" t="s">
        <v>78</v>
      </c>
      <c r="V68" s="13" t="s">
        <v>170</v>
      </c>
      <c r="W68" s="5" t="s">
        <v>82</v>
      </c>
      <c r="X68" s="5" t="s">
        <v>373</v>
      </c>
      <c r="Y68" s="8" t="s">
        <v>39</v>
      </c>
      <c r="Z68" s="12">
        <v>45517</v>
      </c>
      <c r="AA68" s="5" t="s">
        <v>251</v>
      </c>
      <c r="AB68" s="5" t="s">
        <v>78</v>
      </c>
      <c r="AC68" s="5" t="s">
        <v>134</v>
      </c>
      <c r="AD68" s="15">
        <f t="shared" si="4"/>
        <v>67</v>
      </c>
      <c r="AE68" s="5">
        <v>0</v>
      </c>
      <c r="AF68" s="5"/>
      <c r="AG68" s="5" t="s">
        <v>80</v>
      </c>
      <c r="AH68" s="13" t="s">
        <v>170</v>
      </c>
      <c r="AI68" s="5" t="s">
        <v>82</v>
      </c>
      <c r="AJ68" s="5" t="s">
        <v>373</v>
      </c>
      <c r="AK68" s="5"/>
      <c r="AL68" s="5"/>
      <c r="AM68" s="5"/>
      <c r="AN68" s="5" t="s">
        <v>134</v>
      </c>
      <c r="AO68" s="5" t="s">
        <v>162</v>
      </c>
      <c r="AP68" s="5"/>
    </row>
    <row r="69" spans="1:42" x14ac:dyDescent="0.25">
      <c r="A69" s="37">
        <v>518824</v>
      </c>
      <c r="B69" s="9" t="s">
        <v>7</v>
      </c>
      <c r="C69" s="36" t="s">
        <v>76</v>
      </c>
      <c r="D69" s="12">
        <v>45182</v>
      </c>
      <c r="E69" s="12">
        <v>45394</v>
      </c>
      <c r="F69" s="5" t="s">
        <v>77</v>
      </c>
      <c r="G69" s="12">
        <v>30003</v>
      </c>
      <c r="H69" s="15">
        <f t="shared" si="3"/>
        <v>41</v>
      </c>
      <c r="I69" s="5">
        <v>4</v>
      </c>
      <c r="J69" s="5">
        <v>31</v>
      </c>
      <c r="K69" s="5" t="s">
        <v>30</v>
      </c>
      <c r="L69" s="5" t="s">
        <v>78</v>
      </c>
      <c r="M69" s="5"/>
      <c r="N69" s="5" t="s">
        <v>181</v>
      </c>
      <c r="O69" s="5" t="s">
        <v>276</v>
      </c>
      <c r="P69" s="5">
        <v>2</v>
      </c>
      <c r="Q69" s="5">
        <v>1</v>
      </c>
      <c r="R69" s="5" t="s">
        <v>253</v>
      </c>
      <c r="S69" s="5" t="s">
        <v>80</v>
      </c>
      <c r="T69" s="5" t="s">
        <v>95</v>
      </c>
      <c r="U69" s="5" t="s">
        <v>78</v>
      </c>
      <c r="V69" s="5" t="s">
        <v>334</v>
      </c>
      <c r="W69" s="5" t="s">
        <v>82</v>
      </c>
      <c r="X69" s="5" t="s">
        <v>83</v>
      </c>
      <c r="Y69" s="8" t="s">
        <v>39</v>
      </c>
      <c r="Z69" s="12">
        <v>45436</v>
      </c>
      <c r="AA69" s="5" t="s">
        <v>251</v>
      </c>
      <c r="AB69" s="5" t="s">
        <v>78</v>
      </c>
      <c r="AC69" s="5" t="s">
        <v>207</v>
      </c>
      <c r="AD69" s="15">
        <f t="shared" si="4"/>
        <v>42</v>
      </c>
      <c r="AE69" s="15">
        <v>0</v>
      </c>
      <c r="AF69" s="5"/>
      <c r="AG69" s="5" t="s">
        <v>80</v>
      </c>
      <c r="AH69" s="5" t="s">
        <v>210</v>
      </c>
      <c r="AI69" s="5" t="s">
        <v>82</v>
      </c>
      <c r="AJ69" s="5" t="s">
        <v>83</v>
      </c>
      <c r="AK69" s="5"/>
      <c r="AL69" s="5"/>
      <c r="AM69" s="5"/>
      <c r="AN69" s="5" t="s">
        <v>310</v>
      </c>
      <c r="AO69" s="5" t="s">
        <v>335</v>
      </c>
      <c r="AP69" s="5" t="s">
        <v>312</v>
      </c>
    </row>
    <row r="70" spans="1:42" ht="75" x14ac:dyDescent="0.25">
      <c r="A70" s="33">
        <v>518898</v>
      </c>
      <c r="B70" s="4" t="s">
        <v>8</v>
      </c>
      <c r="C70" s="5" t="s">
        <v>39</v>
      </c>
      <c r="D70" s="12">
        <v>45169</v>
      </c>
      <c r="E70" s="12">
        <v>45394</v>
      </c>
      <c r="F70" s="5" t="s">
        <v>77</v>
      </c>
      <c r="G70" s="12">
        <v>32190</v>
      </c>
      <c r="H70" s="15">
        <f t="shared" si="3"/>
        <v>35</v>
      </c>
      <c r="I70" s="5">
        <v>0</v>
      </c>
      <c r="J70" s="5">
        <v>43</v>
      </c>
      <c r="K70" s="5" t="s">
        <v>30</v>
      </c>
      <c r="L70" s="5" t="s">
        <v>78</v>
      </c>
      <c r="M70" s="5" t="s">
        <v>39</v>
      </c>
      <c r="N70" s="5" t="s">
        <v>154</v>
      </c>
      <c r="O70" s="5" t="s">
        <v>358</v>
      </c>
      <c r="P70" s="5">
        <v>2</v>
      </c>
      <c r="Q70" s="5">
        <v>0</v>
      </c>
      <c r="R70" s="5">
        <v>2</v>
      </c>
      <c r="S70" s="5" t="s">
        <v>80</v>
      </c>
      <c r="T70" s="5" t="s">
        <v>165</v>
      </c>
      <c r="U70" s="5" t="s">
        <v>77</v>
      </c>
      <c r="V70" s="13" t="s">
        <v>88</v>
      </c>
      <c r="W70" s="5" t="s">
        <v>361</v>
      </c>
      <c r="X70" s="5" t="s">
        <v>362</v>
      </c>
      <c r="Y70" s="8" t="s">
        <v>4</v>
      </c>
      <c r="Z70" s="12">
        <v>45398</v>
      </c>
      <c r="AA70" s="5" t="s">
        <v>359</v>
      </c>
      <c r="AB70" s="5" t="s">
        <v>78</v>
      </c>
      <c r="AC70" s="5" t="s">
        <v>360</v>
      </c>
      <c r="AD70" s="15">
        <f t="shared" si="4"/>
        <v>4</v>
      </c>
      <c r="AE70" s="5">
        <v>2</v>
      </c>
      <c r="AF70" s="13" t="s">
        <v>510</v>
      </c>
      <c r="AG70" s="5" t="s">
        <v>80</v>
      </c>
      <c r="AH70" s="13" t="s">
        <v>88</v>
      </c>
      <c r="AI70" s="5" t="s">
        <v>82</v>
      </c>
      <c r="AJ70" s="5">
        <v>0.8</v>
      </c>
      <c r="AK70" s="5"/>
      <c r="AL70" s="5"/>
      <c r="AM70" s="5"/>
      <c r="AN70" s="6" t="s">
        <v>343</v>
      </c>
      <c r="AO70" s="6" t="s">
        <v>208</v>
      </c>
      <c r="AP70" s="6" t="s">
        <v>208</v>
      </c>
    </row>
    <row r="71" spans="1:42" x14ac:dyDescent="0.25">
      <c r="A71" s="34">
        <v>518975</v>
      </c>
      <c r="B71" s="10" t="s">
        <v>23</v>
      </c>
      <c r="C71" s="5" t="s">
        <v>76</v>
      </c>
      <c r="D71" s="12">
        <v>45224</v>
      </c>
      <c r="E71" s="12">
        <v>45451</v>
      </c>
      <c r="F71" s="5" t="s">
        <v>77</v>
      </c>
      <c r="G71" s="12">
        <v>30940</v>
      </c>
      <c r="H71" s="15">
        <f t="shared" ref="H71:H102" si="5">DATEDIF(G71,D71,"Y")</f>
        <v>39</v>
      </c>
      <c r="I71" s="5">
        <v>2</v>
      </c>
      <c r="J71" s="5">
        <v>28</v>
      </c>
      <c r="K71" s="5" t="s">
        <v>30</v>
      </c>
      <c r="L71" s="5" t="s">
        <v>78</v>
      </c>
      <c r="M71" s="5" t="s">
        <v>452</v>
      </c>
      <c r="N71" s="5" t="s">
        <v>84</v>
      </c>
      <c r="O71" s="5" t="s">
        <v>453</v>
      </c>
      <c r="P71" s="5">
        <v>3</v>
      </c>
      <c r="Q71" s="5">
        <v>0</v>
      </c>
      <c r="R71" s="5">
        <v>1</v>
      </c>
      <c r="S71" s="5" t="s">
        <v>84</v>
      </c>
      <c r="T71" s="5" t="s">
        <v>165</v>
      </c>
      <c r="U71" s="5" t="s">
        <v>78</v>
      </c>
      <c r="V71" s="5" t="s">
        <v>334</v>
      </c>
      <c r="W71" s="5" t="s">
        <v>82</v>
      </c>
      <c r="X71" s="5" t="s">
        <v>373</v>
      </c>
      <c r="Y71" s="8" t="s">
        <v>76</v>
      </c>
      <c r="Z71" s="12">
        <v>45471</v>
      </c>
      <c r="AA71" s="5" t="s">
        <v>290</v>
      </c>
      <c r="AB71" s="5" t="s">
        <v>78</v>
      </c>
      <c r="AC71" s="5" t="s">
        <v>134</v>
      </c>
      <c r="AD71" s="15">
        <f t="shared" si="4"/>
        <v>20</v>
      </c>
      <c r="AE71" s="5">
        <v>0</v>
      </c>
      <c r="AF71" s="5"/>
      <c r="AG71" s="5" t="s">
        <v>84</v>
      </c>
      <c r="AH71" s="5" t="s">
        <v>210</v>
      </c>
      <c r="AI71" s="5" t="s">
        <v>82</v>
      </c>
      <c r="AJ71" s="5" t="s">
        <v>373</v>
      </c>
      <c r="AK71" s="5"/>
      <c r="AL71" s="5"/>
      <c r="AM71" s="5"/>
      <c r="AN71" s="5" t="s">
        <v>134</v>
      </c>
      <c r="AO71" s="5" t="s">
        <v>290</v>
      </c>
      <c r="AP71" s="5"/>
    </row>
    <row r="72" spans="1:42" ht="30" x14ac:dyDescent="0.25">
      <c r="A72" s="34">
        <v>519003</v>
      </c>
      <c r="B72" s="10" t="s">
        <v>23</v>
      </c>
      <c r="C72" s="5" t="s">
        <v>39</v>
      </c>
      <c r="D72" s="12">
        <v>45279</v>
      </c>
      <c r="E72" s="12">
        <v>45461</v>
      </c>
      <c r="F72" s="5" t="s">
        <v>77</v>
      </c>
      <c r="G72" s="12">
        <v>35130</v>
      </c>
      <c r="H72" s="15">
        <f t="shared" si="5"/>
        <v>27</v>
      </c>
      <c r="I72" s="5">
        <v>1</v>
      </c>
      <c r="J72" s="5">
        <v>29</v>
      </c>
      <c r="K72" s="5" t="s">
        <v>30</v>
      </c>
      <c r="L72" s="5" t="s">
        <v>78</v>
      </c>
      <c r="M72" s="5"/>
      <c r="N72" s="5"/>
      <c r="O72" s="5">
        <v>28</v>
      </c>
      <c r="P72" s="5">
        <v>2</v>
      </c>
      <c r="Q72" s="5">
        <v>0</v>
      </c>
      <c r="R72" s="5">
        <v>1</v>
      </c>
      <c r="S72" s="5" t="s">
        <v>80</v>
      </c>
      <c r="T72" s="5" t="s">
        <v>95</v>
      </c>
      <c r="U72" s="5" t="s">
        <v>77</v>
      </c>
      <c r="V72" s="13" t="s">
        <v>210</v>
      </c>
      <c r="W72" s="5" t="s">
        <v>82</v>
      </c>
      <c r="X72" s="5" t="s">
        <v>373</v>
      </c>
      <c r="Y72" s="8" t="s">
        <v>39</v>
      </c>
      <c r="Z72" s="12">
        <v>45535</v>
      </c>
      <c r="AA72" s="5" t="s">
        <v>277</v>
      </c>
      <c r="AB72" s="5" t="s">
        <v>279</v>
      </c>
      <c r="AC72" s="5" t="s">
        <v>134</v>
      </c>
      <c r="AD72" s="15">
        <f t="shared" si="4"/>
        <v>74</v>
      </c>
      <c r="AE72" s="5">
        <v>1</v>
      </c>
      <c r="AF72" s="13" t="s">
        <v>416</v>
      </c>
      <c r="AG72" s="5" t="s">
        <v>279</v>
      </c>
      <c r="AH72" s="5" t="s">
        <v>210</v>
      </c>
      <c r="AI72" s="5" t="s">
        <v>82</v>
      </c>
      <c r="AJ72" s="5" t="s">
        <v>373</v>
      </c>
      <c r="AK72" s="5"/>
      <c r="AL72" s="5"/>
      <c r="AM72" s="5"/>
      <c r="AN72" s="5" t="s">
        <v>134</v>
      </c>
      <c r="AO72" s="5" t="s">
        <v>277</v>
      </c>
      <c r="AP72" s="5"/>
    </row>
    <row r="73" spans="1:42" x14ac:dyDescent="0.25">
      <c r="A73" s="33">
        <v>519206</v>
      </c>
      <c r="B73" s="4" t="s">
        <v>8</v>
      </c>
      <c r="C73" s="5" t="s">
        <v>39</v>
      </c>
      <c r="D73" s="12">
        <v>45221</v>
      </c>
      <c r="E73" s="12">
        <v>45412</v>
      </c>
      <c r="F73" s="5" t="s">
        <v>77</v>
      </c>
      <c r="G73" s="12">
        <v>30317</v>
      </c>
      <c r="H73" s="15">
        <f t="shared" si="5"/>
        <v>40</v>
      </c>
      <c r="I73" s="5">
        <v>2</v>
      </c>
      <c r="J73" s="5">
        <v>32</v>
      </c>
      <c r="K73" s="5" t="s">
        <v>30</v>
      </c>
      <c r="L73" s="5" t="s">
        <v>78</v>
      </c>
      <c r="M73" s="5" t="s">
        <v>39</v>
      </c>
      <c r="N73" s="5"/>
      <c r="O73" s="5" t="s">
        <v>390</v>
      </c>
      <c r="P73" s="5">
        <v>2</v>
      </c>
      <c r="Q73" s="5">
        <v>0</v>
      </c>
      <c r="R73" s="5">
        <v>1</v>
      </c>
      <c r="S73" s="5" t="s">
        <v>80</v>
      </c>
      <c r="T73" s="5" t="s">
        <v>95</v>
      </c>
      <c r="U73" s="5" t="s">
        <v>78</v>
      </c>
      <c r="V73" s="5" t="s">
        <v>94</v>
      </c>
      <c r="W73" s="5" t="s">
        <v>82</v>
      </c>
      <c r="X73" s="5" t="s">
        <v>351</v>
      </c>
      <c r="Y73" s="8" t="s">
        <v>39</v>
      </c>
      <c r="Z73" s="12">
        <v>45471</v>
      </c>
      <c r="AA73" s="5">
        <v>39</v>
      </c>
      <c r="AB73" s="5" t="s">
        <v>78</v>
      </c>
      <c r="AC73" s="5" t="s">
        <v>134</v>
      </c>
      <c r="AD73" s="15">
        <f t="shared" si="4"/>
        <v>59</v>
      </c>
      <c r="AE73" s="5">
        <v>0</v>
      </c>
      <c r="AF73" s="5"/>
      <c r="AG73" s="5" t="s">
        <v>80</v>
      </c>
      <c r="AH73" s="5" t="s">
        <v>94</v>
      </c>
      <c r="AI73" s="5" t="s">
        <v>82</v>
      </c>
      <c r="AJ73" s="5" t="s">
        <v>351</v>
      </c>
      <c r="AK73" s="5"/>
      <c r="AL73" s="5"/>
      <c r="AM73" s="5"/>
      <c r="AN73" s="5" t="s">
        <v>134</v>
      </c>
      <c r="AO73" s="5" t="s">
        <v>270</v>
      </c>
      <c r="AP73" s="5"/>
    </row>
    <row r="74" spans="1:42" ht="30" x14ac:dyDescent="0.25">
      <c r="A74" s="29">
        <v>519588</v>
      </c>
      <c r="B74" s="9" t="s">
        <v>7</v>
      </c>
      <c r="C74" s="7" t="s">
        <v>4</v>
      </c>
      <c r="D74" s="12">
        <v>45218</v>
      </c>
      <c r="E74" s="12">
        <v>45426</v>
      </c>
      <c r="F74" s="9" t="s">
        <v>77</v>
      </c>
      <c r="G74" s="12">
        <v>33908</v>
      </c>
      <c r="H74" s="15">
        <f t="shared" si="5"/>
        <v>30</v>
      </c>
      <c r="I74" s="5">
        <v>1</v>
      </c>
      <c r="J74" s="9">
        <v>21</v>
      </c>
      <c r="K74" s="5" t="s">
        <v>30</v>
      </c>
      <c r="L74" s="5" t="s">
        <v>78</v>
      </c>
      <c r="M74" s="9" t="s">
        <v>92</v>
      </c>
      <c r="N74" s="9" t="s">
        <v>92</v>
      </c>
      <c r="O74" s="9" t="s">
        <v>109</v>
      </c>
      <c r="P74" s="9">
        <v>3</v>
      </c>
      <c r="Q74" s="5">
        <v>1</v>
      </c>
      <c r="R74" s="6" t="s">
        <v>102</v>
      </c>
      <c r="S74" s="9" t="s">
        <v>80</v>
      </c>
      <c r="T74" s="6" t="s">
        <v>165</v>
      </c>
      <c r="U74" s="9" t="s">
        <v>77</v>
      </c>
      <c r="V74" s="13" t="s">
        <v>173</v>
      </c>
      <c r="W74" s="6" t="s">
        <v>82</v>
      </c>
      <c r="X74" s="6" t="s">
        <v>205</v>
      </c>
      <c r="Y74" s="8" t="s">
        <v>4</v>
      </c>
      <c r="Z74" s="12">
        <v>45431</v>
      </c>
      <c r="AA74" s="9" t="s">
        <v>202</v>
      </c>
      <c r="AB74" s="9" t="s">
        <v>78</v>
      </c>
      <c r="AC74" s="13" t="s">
        <v>203</v>
      </c>
      <c r="AD74" s="15">
        <f t="shared" si="4"/>
        <v>5</v>
      </c>
      <c r="AE74" s="15">
        <v>0</v>
      </c>
      <c r="AF74" s="5" t="s">
        <v>78</v>
      </c>
      <c r="AG74" s="5" t="s">
        <v>80</v>
      </c>
      <c r="AH74" s="13" t="s">
        <v>173</v>
      </c>
      <c r="AI74" s="6" t="s">
        <v>82</v>
      </c>
      <c r="AJ74" s="6" t="s">
        <v>204</v>
      </c>
      <c r="AK74" s="5"/>
      <c r="AL74" s="5"/>
      <c r="AM74" s="5"/>
      <c r="AN74" s="6" t="s">
        <v>329</v>
      </c>
      <c r="AO74" s="6">
        <v>34</v>
      </c>
      <c r="AP74" s="6" t="s">
        <v>329</v>
      </c>
    </row>
    <row r="75" spans="1:42" ht="30" x14ac:dyDescent="0.25">
      <c r="A75" s="1">
        <v>519611</v>
      </c>
      <c r="B75" s="1" t="s">
        <v>3</v>
      </c>
      <c r="C75" s="7" t="s">
        <v>5</v>
      </c>
      <c r="D75" s="12">
        <v>45182</v>
      </c>
      <c r="E75" s="12">
        <v>45413</v>
      </c>
      <c r="F75" s="5" t="s">
        <v>77</v>
      </c>
      <c r="G75" s="14">
        <v>32263</v>
      </c>
      <c r="H75" s="44">
        <f t="shared" si="5"/>
        <v>35</v>
      </c>
      <c r="I75" s="6">
        <v>3</v>
      </c>
      <c r="J75" s="6">
        <v>36</v>
      </c>
      <c r="K75" s="6" t="s">
        <v>30</v>
      </c>
      <c r="L75" s="6" t="s">
        <v>78</v>
      </c>
      <c r="M75" s="5" t="s">
        <v>5</v>
      </c>
      <c r="N75" s="5" t="s">
        <v>92</v>
      </c>
      <c r="O75" s="43">
        <f>35</f>
        <v>35</v>
      </c>
      <c r="P75" s="5">
        <v>7</v>
      </c>
      <c r="Q75" s="5">
        <v>0</v>
      </c>
      <c r="R75" s="6" t="s">
        <v>98</v>
      </c>
      <c r="S75" s="6" t="s">
        <v>80</v>
      </c>
      <c r="T75" s="6" t="s">
        <v>95</v>
      </c>
      <c r="U75" s="5" t="s">
        <v>77</v>
      </c>
      <c r="V75" s="5" t="s">
        <v>94</v>
      </c>
      <c r="W75" s="6" t="s">
        <v>82</v>
      </c>
      <c r="X75" s="6" t="s">
        <v>83</v>
      </c>
      <c r="Y75" s="8" t="s">
        <v>39</v>
      </c>
      <c r="Z75" s="12">
        <v>45426</v>
      </c>
      <c r="AA75" s="5">
        <f>36+6/7</f>
        <v>36.857142857142854</v>
      </c>
      <c r="AB75" s="5" t="s">
        <v>78</v>
      </c>
      <c r="AC75" s="27" t="s">
        <v>124</v>
      </c>
      <c r="AD75" s="15">
        <f t="shared" si="4"/>
        <v>13</v>
      </c>
      <c r="AE75" s="15">
        <v>0</v>
      </c>
      <c r="AF75" s="5" t="s">
        <v>78</v>
      </c>
      <c r="AG75" s="6" t="s">
        <v>80</v>
      </c>
      <c r="AH75" s="5" t="s">
        <v>94</v>
      </c>
      <c r="AI75" s="6" t="s">
        <v>82</v>
      </c>
      <c r="AJ75" s="6" t="s">
        <v>83</v>
      </c>
      <c r="AK75" s="5"/>
      <c r="AL75" s="5"/>
      <c r="AM75" s="5"/>
      <c r="AN75" s="6" t="s">
        <v>207</v>
      </c>
      <c r="AO75" s="5">
        <v>37</v>
      </c>
      <c r="AP75" s="5" t="s">
        <v>268</v>
      </c>
    </row>
    <row r="76" spans="1:42" ht="30" x14ac:dyDescent="0.25">
      <c r="A76" s="1">
        <v>519933</v>
      </c>
      <c r="B76" s="1" t="s">
        <v>3</v>
      </c>
      <c r="C76" s="7" t="s">
        <v>39</v>
      </c>
      <c r="D76" s="12">
        <v>45207</v>
      </c>
      <c r="E76" s="12">
        <v>45418</v>
      </c>
      <c r="F76" s="5" t="s">
        <v>77</v>
      </c>
      <c r="G76" s="14">
        <v>31131</v>
      </c>
      <c r="H76" s="44">
        <f t="shared" si="5"/>
        <v>38</v>
      </c>
      <c r="I76" s="6">
        <v>3</v>
      </c>
      <c r="J76" s="6">
        <v>26</v>
      </c>
      <c r="K76" s="6" t="s">
        <v>30</v>
      </c>
      <c r="L76" s="6" t="s">
        <v>78</v>
      </c>
      <c r="M76" s="5" t="s">
        <v>5</v>
      </c>
      <c r="N76" s="5" t="s">
        <v>78</v>
      </c>
      <c r="O76" s="8">
        <f>32+1/7</f>
        <v>32.142857142857146</v>
      </c>
      <c r="P76" s="5">
        <v>3</v>
      </c>
      <c r="Q76" s="5">
        <v>0</v>
      </c>
      <c r="R76" s="5" t="s">
        <v>100</v>
      </c>
      <c r="S76" s="5" t="s">
        <v>80</v>
      </c>
      <c r="T76" s="5" t="s">
        <v>95</v>
      </c>
      <c r="U76" s="5" t="s">
        <v>78</v>
      </c>
      <c r="V76" s="13" t="s">
        <v>88</v>
      </c>
      <c r="W76" s="5" t="s">
        <v>82</v>
      </c>
      <c r="X76" s="5" t="s">
        <v>83</v>
      </c>
      <c r="Y76" s="8" t="s">
        <v>39</v>
      </c>
      <c r="Z76" s="12">
        <v>45446</v>
      </c>
      <c r="AA76" s="5">
        <f>36+1/7</f>
        <v>36.142857142857146</v>
      </c>
      <c r="AB76" s="5" t="s">
        <v>99</v>
      </c>
      <c r="AC76" s="13" t="s">
        <v>123</v>
      </c>
      <c r="AD76" s="15">
        <f t="shared" si="4"/>
        <v>28</v>
      </c>
      <c r="AE76" s="15">
        <v>0</v>
      </c>
      <c r="AF76" s="5" t="s">
        <v>78</v>
      </c>
      <c r="AG76" s="5" t="s">
        <v>80</v>
      </c>
      <c r="AH76" s="13" t="s">
        <v>88</v>
      </c>
      <c r="AI76" s="5" t="s">
        <v>82</v>
      </c>
      <c r="AJ76" s="5" t="s">
        <v>83</v>
      </c>
      <c r="AK76" s="5"/>
      <c r="AL76" s="5"/>
      <c r="AM76" s="5"/>
      <c r="AN76" s="6" t="s">
        <v>343</v>
      </c>
      <c r="AO76" s="6" t="s">
        <v>340</v>
      </c>
      <c r="AP76" s="6" t="s">
        <v>496</v>
      </c>
    </row>
    <row r="77" spans="1:42" x14ac:dyDescent="0.25">
      <c r="A77" s="33">
        <v>520145</v>
      </c>
      <c r="B77" s="4" t="s">
        <v>8</v>
      </c>
      <c r="C77" s="5" t="s">
        <v>39</v>
      </c>
      <c r="D77" s="12">
        <v>45241</v>
      </c>
      <c r="E77" s="12">
        <v>45429</v>
      </c>
      <c r="F77" s="5" t="s">
        <v>77</v>
      </c>
      <c r="G77" s="12">
        <v>28942</v>
      </c>
      <c r="H77" s="15">
        <f t="shared" si="5"/>
        <v>44</v>
      </c>
      <c r="I77" s="5">
        <v>3</v>
      </c>
      <c r="J77" s="5">
        <v>27</v>
      </c>
      <c r="K77" s="5" t="s">
        <v>30</v>
      </c>
      <c r="L77" s="5" t="s">
        <v>78</v>
      </c>
      <c r="M77" s="5" t="s">
        <v>39</v>
      </c>
      <c r="N77" s="5"/>
      <c r="O77" s="5" t="s">
        <v>363</v>
      </c>
      <c r="P77" s="5">
        <v>2</v>
      </c>
      <c r="Q77" s="5">
        <v>0</v>
      </c>
      <c r="R77" s="5">
        <v>1</v>
      </c>
      <c r="S77" s="5" t="s">
        <v>80</v>
      </c>
      <c r="T77" s="5" t="s">
        <v>95</v>
      </c>
      <c r="U77" s="5" t="s">
        <v>78</v>
      </c>
      <c r="V77" s="5" t="s">
        <v>334</v>
      </c>
      <c r="W77" s="5" t="s">
        <v>82</v>
      </c>
      <c r="X77" s="5" t="s">
        <v>351</v>
      </c>
      <c r="Y77" s="8" t="s">
        <v>39</v>
      </c>
      <c r="Z77" s="12">
        <v>45512</v>
      </c>
      <c r="AA77" s="5" t="s">
        <v>380</v>
      </c>
      <c r="AB77" s="5" t="s">
        <v>78</v>
      </c>
      <c r="AC77" s="5" t="s">
        <v>207</v>
      </c>
      <c r="AD77" s="15">
        <f t="shared" si="4"/>
        <v>83</v>
      </c>
      <c r="AE77" s="5">
        <v>0</v>
      </c>
      <c r="AF77" s="5"/>
      <c r="AG77" s="5" t="s">
        <v>80</v>
      </c>
      <c r="AH77" s="5" t="s">
        <v>334</v>
      </c>
      <c r="AI77" s="5" t="s">
        <v>82</v>
      </c>
      <c r="AJ77" s="5" t="s">
        <v>351</v>
      </c>
      <c r="AK77" s="5"/>
      <c r="AL77" s="5"/>
      <c r="AM77" s="5"/>
      <c r="AN77" s="5" t="s">
        <v>347</v>
      </c>
      <c r="AO77" s="5" t="s">
        <v>380</v>
      </c>
      <c r="AP77" s="5" t="s">
        <v>347</v>
      </c>
    </row>
    <row r="78" spans="1:42" x14ac:dyDescent="0.25">
      <c r="A78" s="33">
        <v>520148</v>
      </c>
      <c r="B78" s="4" t="s">
        <v>8</v>
      </c>
      <c r="C78" s="5" t="s">
        <v>39</v>
      </c>
      <c r="D78" s="12">
        <v>45234</v>
      </c>
      <c r="E78" s="12">
        <v>45434</v>
      </c>
      <c r="F78" s="5" t="s">
        <v>77</v>
      </c>
      <c r="G78" s="12">
        <v>36886</v>
      </c>
      <c r="H78" s="15">
        <f t="shared" si="5"/>
        <v>22</v>
      </c>
      <c r="I78" s="5">
        <v>1</v>
      </c>
      <c r="J78" s="5">
        <v>46</v>
      </c>
      <c r="K78" s="5" t="s">
        <v>30</v>
      </c>
      <c r="L78" s="5" t="s">
        <v>78</v>
      </c>
      <c r="M78" s="5"/>
      <c r="N78" s="5" t="s">
        <v>154</v>
      </c>
      <c r="O78" s="5" t="s">
        <v>306</v>
      </c>
      <c r="P78" s="5">
        <v>2</v>
      </c>
      <c r="Q78" s="5">
        <v>0</v>
      </c>
      <c r="R78" s="5">
        <v>1</v>
      </c>
      <c r="S78" s="5" t="s">
        <v>80</v>
      </c>
      <c r="T78" s="5" t="s">
        <v>95</v>
      </c>
      <c r="U78" s="5" t="s">
        <v>78</v>
      </c>
      <c r="V78" s="5" t="s">
        <v>334</v>
      </c>
      <c r="W78" s="5" t="s">
        <v>82</v>
      </c>
      <c r="X78" s="5" t="s">
        <v>351</v>
      </c>
      <c r="Y78" s="8" t="s">
        <v>39</v>
      </c>
      <c r="Z78" s="12">
        <v>45492</v>
      </c>
      <c r="AA78" s="5" t="s">
        <v>277</v>
      </c>
      <c r="AB78" s="5" t="s">
        <v>78</v>
      </c>
      <c r="AC78" s="5" t="s">
        <v>367</v>
      </c>
      <c r="AD78" s="15">
        <f t="shared" si="4"/>
        <v>58</v>
      </c>
      <c r="AE78" s="5">
        <v>0</v>
      </c>
      <c r="AF78" s="5"/>
      <c r="AG78" s="5" t="s">
        <v>80</v>
      </c>
      <c r="AH78" s="5" t="s">
        <v>334</v>
      </c>
      <c r="AI78" s="5" t="s">
        <v>82</v>
      </c>
      <c r="AJ78" s="5" t="s">
        <v>351</v>
      </c>
      <c r="AK78" s="5"/>
      <c r="AL78" s="5"/>
      <c r="AM78" s="5"/>
      <c r="AN78" s="5" t="s">
        <v>207</v>
      </c>
      <c r="AO78" s="5" t="s">
        <v>372</v>
      </c>
      <c r="AP78" s="5" t="s">
        <v>368</v>
      </c>
    </row>
    <row r="79" spans="1:42" ht="30" x14ac:dyDescent="0.25">
      <c r="A79" s="34">
        <v>520317</v>
      </c>
      <c r="B79" s="10" t="s">
        <v>23</v>
      </c>
      <c r="C79" s="5" t="s">
        <v>39</v>
      </c>
      <c r="D79" s="12">
        <v>45319</v>
      </c>
      <c r="E79" s="12">
        <v>45502</v>
      </c>
      <c r="F79" s="5" t="s">
        <v>77</v>
      </c>
      <c r="G79" s="12">
        <v>29953</v>
      </c>
      <c r="H79" s="15">
        <f t="shared" si="5"/>
        <v>42</v>
      </c>
      <c r="I79" s="5">
        <v>2</v>
      </c>
      <c r="J79" s="5">
        <v>59</v>
      </c>
      <c r="K79" s="5" t="s">
        <v>30</v>
      </c>
      <c r="L79" s="5" t="s">
        <v>78</v>
      </c>
      <c r="M79" s="5" t="s">
        <v>39</v>
      </c>
      <c r="N79" s="5" t="s">
        <v>181</v>
      </c>
      <c r="O79" s="5" t="s">
        <v>421</v>
      </c>
      <c r="P79" s="5">
        <v>3</v>
      </c>
      <c r="Q79" s="5">
        <v>0</v>
      </c>
      <c r="R79" s="5">
        <v>1</v>
      </c>
      <c r="S79" s="5" t="s">
        <v>80</v>
      </c>
      <c r="T79" s="5" t="s">
        <v>95</v>
      </c>
      <c r="U79" s="5" t="s">
        <v>78</v>
      </c>
      <c r="V79" s="13" t="s">
        <v>483</v>
      </c>
      <c r="W79" s="5" t="s">
        <v>82</v>
      </c>
      <c r="X79" s="5" t="s">
        <v>373</v>
      </c>
      <c r="Y79" s="8" t="s">
        <v>39</v>
      </c>
      <c r="Z79" s="12">
        <v>45577</v>
      </c>
      <c r="AA79" s="5" t="s">
        <v>339</v>
      </c>
      <c r="AB79" s="5" t="s">
        <v>78</v>
      </c>
      <c r="AC79" s="5" t="s">
        <v>207</v>
      </c>
      <c r="AD79" s="15">
        <f t="shared" si="4"/>
        <v>75</v>
      </c>
      <c r="AE79" s="5">
        <v>1</v>
      </c>
      <c r="AF79" s="13" t="s">
        <v>415</v>
      </c>
      <c r="AG79" s="5" t="s">
        <v>80</v>
      </c>
      <c r="AH79" s="13" t="s">
        <v>487</v>
      </c>
      <c r="AI79" s="5" t="s">
        <v>486</v>
      </c>
      <c r="AJ79" s="5" t="s">
        <v>373</v>
      </c>
      <c r="AK79" s="5"/>
      <c r="AL79" s="5"/>
      <c r="AM79" s="5"/>
      <c r="AN79" s="6" t="s">
        <v>207</v>
      </c>
      <c r="AO79" s="5" t="s">
        <v>270</v>
      </c>
      <c r="AP79" s="13" t="s">
        <v>488</v>
      </c>
    </row>
    <row r="80" spans="1:42" ht="45" x14ac:dyDescent="0.25">
      <c r="A80" s="1">
        <v>520352</v>
      </c>
      <c r="B80" s="1" t="s">
        <v>3</v>
      </c>
      <c r="C80" s="7" t="s">
        <v>6</v>
      </c>
      <c r="D80" s="12">
        <v>45224</v>
      </c>
      <c r="E80" s="12">
        <v>45427</v>
      </c>
      <c r="F80" s="5" t="s">
        <v>77</v>
      </c>
      <c r="G80" s="14">
        <v>30988</v>
      </c>
      <c r="H80" s="44">
        <f t="shared" si="5"/>
        <v>38</v>
      </c>
      <c r="I80" s="6">
        <v>1</v>
      </c>
      <c r="J80" s="6">
        <v>25</v>
      </c>
      <c r="K80" s="6" t="s">
        <v>135</v>
      </c>
      <c r="L80" s="6" t="s">
        <v>78</v>
      </c>
      <c r="M80" s="5" t="s">
        <v>160</v>
      </c>
      <c r="N80" s="5" t="s">
        <v>78</v>
      </c>
      <c r="O80" s="8">
        <v>31</v>
      </c>
      <c r="P80" s="5">
        <v>3</v>
      </c>
      <c r="Q80" s="5">
        <v>0</v>
      </c>
      <c r="R80" s="6" t="s">
        <v>98</v>
      </c>
      <c r="S80" s="6" t="s">
        <v>80</v>
      </c>
      <c r="T80" s="6" t="s">
        <v>95</v>
      </c>
      <c r="U80" s="5" t="s">
        <v>77</v>
      </c>
      <c r="V80" s="13" t="s">
        <v>161</v>
      </c>
      <c r="W80" s="26" t="s">
        <v>82</v>
      </c>
      <c r="X80" s="26" t="s">
        <v>83</v>
      </c>
      <c r="Y80" s="8" t="s">
        <v>39</v>
      </c>
      <c r="Z80" s="12">
        <v>45479</v>
      </c>
      <c r="AA80" s="5">
        <f>38+3/7</f>
        <v>38.428571428571431</v>
      </c>
      <c r="AB80" s="5" t="s">
        <v>78</v>
      </c>
      <c r="AC80" s="27" t="s">
        <v>124</v>
      </c>
      <c r="AD80" s="15">
        <f t="shared" si="4"/>
        <v>52</v>
      </c>
      <c r="AE80" s="15">
        <v>0</v>
      </c>
      <c r="AF80" s="5" t="s">
        <v>78</v>
      </c>
      <c r="AG80" s="6" t="s">
        <v>80</v>
      </c>
      <c r="AH80" s="13" t="s">
        <v>163</v>
      </c>
      <c r="AI80" s="6" t="s">
        <v>82</v>
      </c>
      <c r="AJ80" s="6" t="s">
        <v>83</v>
      </c>
      <c r="AK80" s="5"/>
      <c r="AL80" s="5"/>
      <c r="AM80" s="5"/>
      <c r="AN80" s="5" t="s">
        <v>207</v>
      </c>
      <c r="AO80" s="5" t="s">
        <v>270</v>
      </c>
      <c r="AP80" s="5" t="s">
        <v>266</v>
      </c>
    </row>
    <row r="81" spans="1:42" ht="30" x14ac:dyDescent="0.25">
      <c r="A81" s="96">
        <v>520476</v>
      </c>
      <c r="B81" s="51" t="s">
        <v>7</v>
      </c>
      <c r="C81" s="40" t="s">
        <v>39</v>
      </c>
      <c r="D81" s="52">
        <v>45201</v>
      </c>
      <c r="E81" s="52">
        <v>45436</v>
      </c>
      <c r="F81" s="51" t="s">
        <v>77</v>
      </c>
      <c r="G81" s="52">
        <v>30532</v>
      </c>
      <c r="H81" s="39">
        <f t="shared" si="5"/>
        <v>40</v>
      </c>
      <c r="I81" s="51">
        <v>4</v>
      </c>
      <c r="J81" s="51">
        <v>43</v>
      </c>
      <c r="K81" s="51" t="s">
        <v>30</v>
      </c>
      <c r="L81" s="51" t="s">
        <v>78</v>
      </c>
      <c r="M81" s="40" t="s">
        <v>304</v>
      </c>
      <c r="N81" s="51" t="s">
        <v>552</v>
      </c>
      <c r="O81" s="51" t="s">
        <v>311</v>
      </c>
      <c r="P81" s="51">
        <v>2</v>
      </c>
      <c r="Q81" s="51">
        <v>1</v>
      </c>
      <c r="R81" s="51" t="s">
        <v>100</v>
      </c>
      <c r="S81" s="51" t="s">
        <v>71</v>
      </c>
      <c r="T81" s="51">
        <v>0</v>
      </c>
      <c r="U81" s="51" t="s">
        <v>78</v>
      </c>
      <c r="V81" s="51">
        <v>0</v>
      </c>
      <c r="W81" s="51" t="s">
        <v>82</v>
      </c>
      <c r="X81" s="51" t="s">
        <v>83</v>
      </c>
      <c r="Y81" s="8" t="s">
        <v>39</v>
      </c>
      <c r="Z81" s="52">
        <v>45465</v>
      </c>
      <c r="AA81" s="51" t="s">
        <v>251</v>
      </c>
      <c r="AB81" s="51" t="s">
        <v>78</v>
      </c>
      <c r="AC81" s="51" t="s">
        <v>553</v>
      </c>
      <c r="AD81" s="39">
        <f t="shared" si="4"/>
        <v>29</v>
      </c>
      <c r="AE81" s="39">
        <v>0</v>
      </c>
      <c r="AF81" s="51"/>
      <c r="AG81" s="51" t="s">
        <v>71</v>
      </c>
      <c r="AH81" s="51">
        <v>0</v>
      </c>
      <c r="AI81" s="51" t="s">
        <v>82</v>
      </c>
      <c r="AJ81" s="51" t="s">
        <v>83</v>
      </c>
      <c r="AK81" s="51"/>
      <c r="AL81" s="51"/>
      <c r="AM81" s="51"/>
      <c r="AN81" s="51" t="s">
        <v>134</v>
      </c>
      <c r="AO81" s="51" t="s">
        <v>251</v>
      </c>
      <c r="AP81" s="51"/>
    </row>
    <row r="82" spans="1:42" ht="45" x14ac:dyDescent="0.25">
      <c r="A82" s="3">
        <v>521049</v>
      </c>
      <c r="B82" s="9" t="s">
        <v>7</v>
      </c>
      <c r="C82" s="36" t="s">
        <v>76</v>
      </c>
      <c r="D82" s="12">
        <v>45245</v>
      </c>
      <c r="E82" s="12">
        <v>45450</v>
      </c>
      <c r="F82" s="5" t="s">
        <v>77</v>
      </c>
      <c r="G82" s="12">
        <v>33507</v>
      </c>
      <c r="H82" s="15">
        <f t="shared" si="5"/>
        <v>32</v>
      </c>
      <c r="I82" s="5">
        <v>1</v>
      </c>
      <c r="J82" s="5">
        <v>31</v>
      </c>
      <c r="K82" s="5" t="s">
        <v>30</v>
      </c>
      <c r="L82" s="5" t="s">
        <v>78</v>
      </c>
      <c r="M82" s="5"/>
      <c r="N82" s="13" t="s">
        <v>238</v>
      </c>
      <c r="O82" s="5" t="s">
        <v>236</v>
      </c>
      <c r="P82" s="5">
        <v>5</v>
      </c>
      <c r="Q82" s="5">
        <v>2</v>
      </c>
      <c r="R82" s="5" t="s">
        <v>102</v>
      </c>
      <c r="S82" s="5" t="s">
        <v>235</v>
      </c>
      <c r="T82" s="5" t="s">
        <v>237</v>
      </c>
      <c r="U82" s="5" t="s">
        <v>77</v>
      </c>
      <c r="V82" s="5" t="s">
        <v>94</v>
      </c>
      <c r="W82" s="5" t="s">
        <v>82</v>
      </c>
      <c r="X82" s="6" t="s">
        <v>83</v>
      </c>
      <c r="Y82" s="8" t="s">
        <v>6</v>
      </c>
      <c r="Z82" s="12">
        <v>45453</v>
      </c>
      <c r="AA82" s="5" t="s">
        <v>232</v>
      </c>
      <c r="AB82" s="5" t="s">
        <v>233</v>
      </c>
      <c r="AC82" s="5" t="s">
        <v>234</v>
      </c>
      <c r="AD82" s="15">
        <f t="shared" si="4"/>
        <v>3</v>
      </c>
      <c r="AE82" s="15">
        <v>0</v>
      </c>
      <c r="AF82" s="5"/>
      <c r="AG82" s="13" t="s">
        <v>239</v>
      </c>
      <c r="AH82" s="5" t="s">
        <v>94</v>
      </c>
      <c r="AI82" s="5" t="s">
        <v>82</v>
      </c>
      <c r="AJ82" s="5" t="s">
        <v>240</v>
      </c>
      <c r="AK82" s="5"/>
      <c r="AL82" s="5"/>
      <c r="AM82" s="5"/>
      <c r="AN82" s="6" t="s">
        <v>4</v>
      </c>
      <c r="AO82" s="48" t="s">
        <v>338</v>
      </c>
      <c r="AP82" s="6" t="s">
        <v>4</v>
      </c>
    </row>
    <row r="83" spans="1:42" x14ac:dyDescent="0.25">
      <c r="A83" s="32">
        <v>521361</v>
      </c>
      <c r="B83" s="4" t="s">
        <v>8</v>
      </c>
      <c r="C83" s="5" t="s">
        <v>39</v>
      </c>
      <c r="D83" s="12">
        <v>45273</v>
      </c>
      <c r="E83" s="12">
        <v>45461</v>
      </c>
      <c r="F83" s="5" t="s">
        <v>77</v>
      </c>
      <c r="G83" s="12">
        <v>32031</v>
      </c>
      <c r="H83" s="15">
        <f t="shared" si="5"/>
        <v>36</v>
      </c>
      <c r="I83" s="5">
        <v>2</v>
      </c>
      <c r="J83" s="5">
        <v>32</v>
      </c>
      <c r="K83" s="5" t="s">
        <v>30</v>
      </c>
      <c r="L83" s="5" t="s">
        <v>78</v>
      </c>
      <c r="M83" s="5" t="s">
        <v>4</v>
      </c>
      <c r="N83" s="5" t="s">
        <v>154</v>
      </c>
      <c r="O83" s="5" t="s">
        <v>363</v>
      </c>
      <c r="P83" s="5">
        <v>2</v>
      </c>
      <c r="Q83" s="5">
        <v>0</v>
      </c>
      <c r="R83" s="5">
        <v>1</v>
      </c>
      <c r="S83" s="5" t="s">
        <v>80</v>
      </c>
      <c r="T83" s="5" t="s">
        <v>95</v>
      </c>
      <c r="U83" s="5" t="s">
        <v>78</v>
      </c>
      <c r="V83" s="5" t="s">
        <v>94</v>
      </c>
      <c r="W83" s="5" t="s">
        <v>82</v>
      </c>
      <c r="X83" s="5" t="s">
        <v>351</v>
      </c>
      <c r="Y83" s="8" t="s">
        <v>39</v>
      </c>
      <c r="Z83" s="12">
        <v>45530</v>
      </c>
      <c r="AA83" s="5" t="s">
        <v>339</v>
      </c>
      <c r="AB83" s="5" t="s">
        <v>92</v>
      </c>
      <c r="AC83" s="5" t="s">
        <v>367</v>
      </c>
      <c r="AD83" s="15">
        <f t="shared" si="4"/>
        <v>69</v>
      </c>
      <c r="AE83" s="5">
        <v>0</v>
      </c>
      <c r="AF83" s="5"/>
      <c r="AG83" s="5" t="s">
        <v>80</v>
      </c>
      <c r="AH83" s="5" t="s">
        <v>94</v>
      </c>
      <c r="AI83" s="5" t="s">
        <v>82</v>
      </c>
      <c r="AJ83" s="5" t="s">
        <v>351</v>
      </c>
      <c r="AK83" s="5"/>
      <c r="AL83" s="5"/>
      <c r="AM83" s="5"/>
      <c r="AN83" s="5" t="s">
        <v>207</v>
      </c>
      <c r="AO83" s="5" t="s">
        <v>270</v>
      </c>
      <c r="AP83" s="5" t="s">
        <v>389</v>
      </c>
    </row>
    <row r="84" spans="1:42" ht="30" x14ac:dyDescent="0.25">
      <c r="A84" s="1">
        <v>521825</v>
      </c>
      <c r="B84" s="1" t="s">
        <v>3</v>
      </c>
      <c r="C84" s="7" t="s">
        <v>4</v>
      </c>
      <c r="D84" s="53">
        <v>45221</v>
      </c>
      <c r="E84" s="14">
        <v>45456</v>
      </c>
      <c r="F84" s="5" t="s">
        <v>77</v>
      </c>
      <c r="G84" s="14">
        <v>33880</v>
      </c>
      <c r="H84" s="44">
        <f t="shared" si="5"/>
        <v>31</v>
      </c>
      <c r="I84" s="6">
        <v>2</v>
      </c>
      <c r="J84" s="6">
        <v>23</v>
      </c>
      <c r="K84" s="6" t="s">
        <v>30</v>
      </c>
      <c r="L84" s="6" t="s">
        <v>78</v>
      </c>
      <c r="M84" s="5" t="s">
        <v>4</v>
      </c>
      <c r="N84" s="5" t="s">
        <v>78</v>
      </c>
      <c r="O84" s="43">
        <f>35+4/7</f>
        <v>35.571428571428569</v>
      </c>
      <c r="P84" s="5">
        <v>7</v>
      </c>
      <c r="Q84" s="5">
        <v>0</v>
      </c>
      <c r="R84" s="6" t="s">
        <v>102</v>
      </c>
      <c r="S84" s="6" t="s">
        <v>80</v>
      </c>
      <c r="T84" s="6" t="s">
        <v>165</v>
      </c>
      <c r="U84" s="5" t="s">
        <v>78</v>
      </c>
      <c r="V84" s="13" t="s">
        <v>128</v>
      </c>
      <c r="W84" s="6" t="s">
        <v>82</v>
      </c>
      <c r="X84" s="6" t="s">
        <v>185</v>
      </c>
      <c r="Y84" s="8" t="s">
        <v>4</v>
      </c>
      <c r="Z84" s="12">
        <v>45465</v>
      </c>
      <c r="AA84" s="5">
        <f>36+6/7</f>
        <v>36.857142857142854</v>
      </c>
      <c r="AB84" s="5" t="s">
        <v>78</v>
      </c>
      <c r="AC84" s="27" t="s">
        <v>124</v>
      </c>
      <c r="AD84" s="15">
        <f t="shared" si="4"/>
        <v>9</v>
      </c>
      <c r="AE84" s="15">
        <v>0</v>
      </c>
      <c r="AF84" s="5" t="s">
        <v>78</v>
      </c>
      <c r="AG84" s="6" t="s">
        <v>80</v>
      </c>
      <c r="AH84" s="5" t="s">
        <v>94</v>
      </c>
      <c r="AI84" s="5" t="s">
        <v>82</v>
      </c>
      <c r="AJ84" s="5" t="s">
        <v>186</v>
      </c>
      <c r="AK84" s="5"/>
      <c r="AL84" s="5"/>
      <c r="AM84" s="5"/>
      <c r="AN84" s="6" t="s">
        <v>207</v>
      </c>
      <c r="AO84" s="5">
        <v>37</v>
      </c>
      <c r="AP84" s="5" t="s">
        <v>4</v>
      </c>
    </row>
    <row r="85" spans="1:42" ht="30" x14ac:dyDescent="0.25">
      <c r="A85" s="1">
        <v>521859</v>
      </c>
      <c r="B85" s="1" t="s">
        <v>3</v>
      </c>
      <c r="C85" s="7" t="s">
        <v>4</v>
      </c>
      <c r="D85" s="12">
        <v>45238</v>
      </c>
      <c r="E85" s="12">
        <v>45462</v>
      </c>
      <c r="F85" s="5" t="s">
        <v>77</v>
      </c>
      <c r="G85" s="14">
        <v>34321</v>
      </c>
      <c r="H85" s="44">
        <f t="shared" si="5"/>
        <v>29</v>
      </c>
      <c r="I85" s="6">
        <v>0</v>
      </c>
      <c r="J85" s="6">
        <v>32</v>
      </c>
      <c r="K85" s="6" t="s">
        <v>30</v>
      </c>
      <c r="L85" s="6" t="s">
        <v>78</v>
      </c>
      <c r="M85" s="5"/>
      <c r="N85" s="5" t="s">
        <v>154</v>
      </c>
      <c r="O85" s="8">
        <v>34</v>
      </c>
      <c r="P85" s="5">
        <v>7</v>
      </c>
      <c r="Q85" s="5">
        <v>0</v>
      </c>
      <c r="R85" s="6" t="s">
        <v>102</v>
      </c>
      <c r="S85" s="6" t="s">
        <v>80</v>
      </c>
      <c r="T85" s="6" t="s">
        <v>165</v>
      </c>
      <c r="U85" s="5" t="s">
        <v>77</v>
      </c>
      <c r="V85" s="13" t="s">
        <v>156</v>
      </c>
      <c r="W85" s="6" t="s">
        <v>82</v>
      </c>
      <c r="X85" s="6" t="s">
        <v>188</v>
      </c>
      <c r="Y85" s="8" t="s">
        <v>4</v>
      </c>
      <c r="Z85" s="12">
        <v>45475</v>
      </c>
      <c r="AA85" s="5">
        <f>35+6/7</f>
        <v>35.857142857142854</v>
      </c>
      <c r="AB85" s="5" t="s">
        <v>78</v>
      </c>
      <c r="AC85" s="27" t="s">
        <v>157</v>
      </c>
      <c r="AD85" s="15">
        <f t="shared" si="4"/>
        <v>13</v>
      </c>
      <c r="AE85" s="15">
        <v>0</v>
      </c>
      <c r="AF85" s="5" t="s">
        <v>78</v>
      </c>
      <c r="AG85" s="6" t="s">
        <v>80</v>
      </c>
      <c r="AH85" s="13" t="s">
        <v>153</v>
      </c>
      <c r="AI85" s="5" t="s">
        <v>158</v>
      </c>
      <c r="AJ85" s="5" t="s">
        <v>159</v>
      </c>
      <c r="AK85" s="5"/>
      <c r="AL85" s="5"/>
      <c r="AM85" s="5"/>
      <c r="AN85" s="6" t="s">
        <v>343</v>
      </c>
      <c r="AO85" s="6" t="s">
        <v>494</v>
      </c>
      <c r="AP85" s="27" t="s">
        <v>500</v>
      </c>
    </row>
    <row r="86" spans="1:42" ht="30" x14ac:dyDescent="0.25">
      <c r="A86" s="1">
        <v>521930</v>
      </c>
      <c r="B86" s="1" t="s">
        <v>3</v>
      </c>
      <c r="C86" s="7" t="s">
        <v>4</v>
      </c>
      <c r="D86" s="12">
        <v>45225</v>
      </c>
      <c r="E86" s="12">
        <v>45457</v>
      </c>
      <c r="F86" s="5" t="s">
        <v>77</v>
      </c>
      <c r="G86" s="14">
        <v>32401</v>
      </c>
      <c r="H86" s="44">
        <f t="shared" si="5"/>
        <v>35</v>
      </c>
      <c r="I86" s="6">
        <v>0</v>
      </c>
      <c r="J86" s="6">
        <v>35</v>
      </c>
      <c r="K86" s="6" t="s">
        <v>30</v>
      </c>
      <c r="L86" s="6" t="s">
        <v>78</v>
      </c>
      <c r="M86" s="5"/>
      <c r="N86" s="5" t="s">
        <v>78</v>
      </c>
      <c r="O86" s="43">
        <f>35+1/7</f>
        <v>35.142857142857146</v>
      </c>
      <c r="P86" s="5">
        <v>7</v>
      </c>
      <c r="Q86" s="5">
        <v>0</v>
      </c>
      <c r="R86" s="6" t="s">
        <v>98</v>
      </c>
      <c r="S86" s="6" t="s">
        <v>80</v>
      </c>
      <c r="T86" s="6" t="s">
        <v>155</v>
      </c>
      <c r="U86" s="5" t="s">
        <v>77</v>
      </c>
      <c r="V86" s="13" t="s">
        <v>156</v>
      </c>
      <c r="W86" s="26" t="s">
        <v>82</v>
      </c>
      <c r="X86" s="6" t="s">
        <v>191</v>
      </c>
      <c r="Y86" s="8" t="s">
        <v>4</v>
      </c>
      <c r="Z86" s="12">
        <v>45461</v>
      </c>
      <c r="AA86" s="5">
        <f>35+5/7</f>
        <v>35.714285714285715</v>
      </c>
      <c r="AB86" s="5" t="s">
        <v>78</v>
      </c>
      <c r="AC86" s="27" t="s">
        <v>157</v>
      </c>
      <c r="AD86" s="15">
        <f t="shared" si="4"/>
        <v>4</v>
      </c>
      <c r="AE86" s="15">
        <v>0</v>
      </c>
      <c r="AF86" s="5" t="s">
        <v>78</v>
      </c>
      <c r="AG86" s="6" t="s">
        <v>80</v>
      </c>
      <c r="AH86" s="13" t="s">
        <v>153</v>
      </c>
      <c r="AI86" s="6" t="s">
        <v>82</v>
      </c>
      <c r="AJ86" s="6" t="s">
        <v>175</v>
      </c>
      <c r="AK86" s="5"/>
      <c r="AL86" s="5"/>
      <c r="AM86" s="5"/>
      <c r="AN86" s="5" t="s">
        <v>343</v>
      </c>
      <c r="AO86" s="6">
        <v>37</v>
      </c>
      <c r="AP86" s="6" t="s">
        <v>4</v>
      </c>
    </row>
    <row r="87" spans="1:42" ht="30" x14ac:dyDescent="0.25">
      <c r="A87" s="1">
        <v>522270</v>
      </c>
      <c r="B87" s="1" t="s">
        <v>3</v>
      </c>
      <c r="C87" s="7" t="s">
        <v>4</v>
      </c>
      <c r="D87" s="12">
        <v>45392</v>
      </c>
      <c r="E87" s="12">
        <v>45470</v>
      </c>
      <c r="F87" s="5" t="s">
        <v>77</v>
      </c>
      <c r="G87" s="14">
        <v>30963</v>
      </c>
      <c r="H87" s="44">
        <f t="shared" si="5"/>
        <v>39</v>
      </c>
      <c r="I87" s="6">
        <v>2</v>
      </c>
      <c r="J87" s="6">
        <v>24</v>
      </c>
      <c r="K87" s="6" t="s">
        <v>166</v>
      </c>
      <c r="L87" s="6" t="s">
        <v>167</v>
      </c>
      <c r="M87" s="5" t="s">
        <v>92</v>
      </c>
      <c r="N87" s="13" t="s">
        <v>168</v>
      </c>
      <c r="O87" s="8">
        <f>34+5/7</f>
        <v>34.714285714285715</v>
      </c>
      <c r="P87" s="5">
        <v>7</v>
      </c>
      <c r="Q87" s="5">
        <v>0</v>
      </c>
      <c r="R87" s="6" t="s">
        <v>102</v>
      </c>
      <c r="S87" s="27" t="s">
        <v>169</v>
      </c>
      <c r="T87" s="6" t="s">
        <v>165</v>
      </c>
      <c r="U87" s="5" t="s">
        <v>77</v>
      </c>
      <c r="V87" s="13" t="s">
        <v>170</v>
      </c>
      <c r="W87" s="6" t="s">
        <v>82</v>
      </c>
      <c r="X87" s="6" t="s">
        <v>192</v>
      </c>
      <c r="Y87" s="8" t="s">
        <v>4</v>
      </c>
      <c r="Z87" s="12">
        <v>45475</v>
      </c>
      <c r="AA87" s="5">
        <f>35+2/7</f>
        <v>35.285714285714285</v>
      </c>
      <c r="AB87" s="5" t="s">
        <v>78</v>
      </c>
      <c r="AC87" s="6" t="s">
        <v>171</v>
      </c>
      <c r="AD87" s="15">
        <f t="shared" si="4"/>
        <v>5</v>
      </c>
      <c r="AE87" s="15">
        <v>0</v>
      </c>
      <c r="AF87" s="13"/>
      <c r="AG87" s="27" t="s">
        <v>172</v>
      </c>
      <c r="AH87" s="13" t="s">
        <v>163</v>
      </c>
      <c r="AI87" s="6" t="s">
        <v>82</v>
      </c>
      <c r="AJ87" s="6" t="s">
        <v>175</v>
      </c>
      <c r="AK87" s="5"/>
      <c r="AL87" s="5"/>
      <c r="AM87" s="5"/>
      <c r="AN87" s="5" t="s">
        <v>84</v>
      </c>
      <c r="AO87" s="6" t="s">
        <v>208</v>
      </c>
      <c r="AP87" s="6" t="s">
        <v>501</v>
      </c>
    </row>
    <row r="88" spans="1:42" ht="45" x14ac:dyDescent="0.25">
      <c r="A88" s="1">
        <v>522367</v>
      </c>
      <c r="B88" s="1" t="s">
        <v>3</v>
      </c>
      <c r="C88" s="7" t="s">
        <v>39</v>
      </c>
      <c r="D88" s="12">
        <v>45291</v>
      </c>
      <c r="E88" s="12">
        <v>45474</v>
      </c>
      <c r="F88" s="5" t="s">
        <v>77</v>
      </c>
      <c r="G88" s="14">
        <v>30576</v>
      </c>
      <c r="H88" s="44">
        <f t="shared" si="5"/>
        <v>40</v>
      </c>
      <c r="I88" s="6">
        <v>4</v>
      </c>
      <c r="J88" s="6">
        <v>29</v>
      </c>
      <c r="K88" s="6" t="s">
        <v>30</v>
      </c>
      <c r="L88" s="6" t="s">
        <v>78</v>
      </c>
      <c r="M88" s="13" t="s">
        <v>149</v>
      </c>
      <c r="N88" s="5"/>
      <c r="O88" s="2">
        <f>28+1/7</f>
        <v>28.142857142857142</v>
      </c>
      <c r="P88" s="5">
        <v>2</v>
      </c>
      <c r="Q88" s="5">
        <v>0</v>
      </c>
      <c r="R88" s="6" t="s">
        <v>98</v>
      </c>
      <c r="S88" s="6" t="s">
        <v>80</v>
      </c>
      <c r="T88" s="6" t="s">
        <v>95</v>
      </c>
      <c r="U88" s="5" t="s">
        <v>78</v>
      </c>
      <c r="V88" s="13" t="s">
        <v>150</v>
      </c>
      <c r="W88" s="6" t="s">
        <v>82</v>
      </c>
      <c r="X88" s="6" t="s">
        <v>83</v>
      </c>
      <c r="Y88" s="8" t="s">
        <v>39</v>
      </c>
      <c r="Z88" s="12">
        <v>45529</v>
      </c>
      <c r="AA88" s="5">
        <v>36</v>
      </c>
      <c r="AB88" s="5" t="s">
        <v>78</v>
      </c>
      <c r="AC88" s="27" t="s">
        <v>151</v>
      </c>
      <c r="AD88" s="15">
        <f t="shared" si="4"/>
        <v>55</v>
      </c>
      <c r="AE88" s="15">
        <v>0</v>
      </c>
      <c r="AF88" s="5" t="s">
        <v>78</v>
      </c>
      <c r="AG88" s="6" t="s">
        <v>152</v>
      </c>
      <c r="AH88" s="13" t="s">
        <v>153</v>
      </c>
      <c r="AI88" s="6" t="s">
        <v>82</v>
      </c>
      <c r="AJ88" s="6" t="s">
        <v>83</v>
      </c>
      <c r="AK88" s="5"/>
      <c r="AL88" s="5"/>
      <c r="AM88" s="5"/>
      <c r="AN88" s="6" t="s">
        <v>332</v>
      </c>
      <c r="AO88" s="6" t="s">
        <v>320</v>
      </c>
      <c r="AP88" s="6" t="s">
        <v>499</v>
      </c>
    </row>
    <row r="89" spans="1:42" ht="30" x14ac:dyDescent="0.25">
      <c r="A89" s="1">
        <v>522718</v>
      </c>
      <c r="B89" s="1" t="s">
        <v>3</v>
      </c>
      <c r="C89" s="7" t="s">
        <v>39</v>
      </c>
      <c r="D89" s="12">
        <v>45231</v>
      </c>
      <c r="E89" s="12">
        <v>45475</v>
      </c>
      <c r="F89" s="5" t="s">
        <v>77</v>
      </c>
      <c r="G89" s="14">
        <v>30401</v>
      </c>
      <c r="H89" s="44">
        <f t="shared" si="5"/>
        <v>40</v>
      </c>
      <c r="I89" s="6">
        <v>1</v>
      </c>
      <c r="J89" s="6">
        <v>26</v>
      </c>
      <c r="K89" s="6" t="s">
        <v>30</v>
      </c>
      <c r="L89" s="6" t="s">
        <v>78</v>
      </c>
      <c r="M89" s="13" t="s">
        <v>113</v>
      </c>
      <c r="N89" s="5" t="s">
        <v>84</v>
      </c>
      <c r="O89" s="43">
        <f>36+6/7</f>
        <v>36.857142857142854</v>
      </c>
      <c r="P89" s="5">
        <v>3</v>
      </c>
      <c r="Q89" s="5">
        <v>0</v>
      </c>
      <c r="R89" s="6" t="s">
        <v>98</v>
      </c>
      <c r="S89" s="6" t="s">
        <v>114</v>
      </c>
      <c r="T89" s="5" t="s">
        <v>95</v>
      </c>
      <c r="U89" s="5" t="s">
        <v>78</v>
      </c>
      <c r="V89" s="5" t="s">
        <v>94</v>
      </c>
      <c r="W89" s="5" t="s">
        <v>82</v>
      </c>
      <c r="X89" s="5" t="s">
        <v>83</v>
      </c>
      <c r="Y89" s="8" t="s">
        <v>39</v>
      </c>
      <c r="Z89" s="12">
        <v>45484</v>
      </c>
      <c r="AA89" s="5">
        <f>38+1/7</f>
        <v>38.142857142857146</v>
      </c>
      <c r="AB89" s="5" t="s">
        <v>84</v>
      </c>
      <c r="AC89" s="27" t="s">
        <v>125</v>
      </c>
      <c r="AD89" s="15">
        <f t="shared" si="4"/>
        <v>9</v>
      </c>
      <c r="AE89" s="15">
        <v>0</v>
      </c>
      <c r="AF89" s="5" t="s">
        <v>78</v>
      </c>
      <c r="AG89" s="27" t="s">
        <v>115</v>
      </c>
      <c r="AH89" s="5" t="s">
        <v>94</v>
      </c>
      <c r="AI89" s="5" t="s">
        <v>82</v>
      </c>
      <c r="AJ89" s="5" t="s">
        <v>83</v>
      </c>
      <c r="AK89" s="5"/>
      <c r="AL89" s="5"/>
      <c r="AM89" s="5"/>
      <c r="AN89" s="6" t="s">
        <v>84</v>
      </c>
      <c r="AO89" s="5" t="s">
        <v>317</v>
      </c>
      <c r="AP89" s="5" t="s">
        <v>84</v>
      </c>
    </row>
    <row r="90" spans="1:42" ht="30" x14ac:dyDescent="0.25">
      <c r="A90" s="3">
        <v>522883</v>
      </c>
      <c r="B90" s="9" t="s">
        <v>7</v>
      </c>
      <c r="C90" s="7" t="s">
        <v>4</v>
      </c>
      <c r="D90" s="12">
        <v>45301</v>
      </c>
      <c r="E90" s="12">
        <v>45479</v>
      </c>
      <c r="F90" s="5" t="s">
        <v>77</v>
      </c>
      <c r="G90" s="12">
        <v>33828</v>
      </c>
      <c r="H90" s="15">
        <f t="shared" si="5"/>
        <v>31</v>
      </c>
      <c r="I90" s="5">
        <v>0</v>
      </c>
      <c r="J90" s="5">
        <v>25</v>
      </c>
      <c r="K90" s="5" t="s">
        <v>135</v>
      </c>
      <c r="L90" s="5" t="s">
        <v>78</v>
      </c>
      <c r="M90" s="5"/>
      <c r="N90" s="13" t="s">
        <v>325</v>
      </c>
      <c r="O90" s="5" t="s">
        <v>140</v>
      </c>
      <c r="P90" s="5">
        <v>2</v>
      </c>
      <c r="Q90" s="5">
        <v>1</v>
      </c>
      <c r="R90" s="5" t="s">
        <v>102</v>
      </c>
      <c r="S90" s="5" t="s">
        <v>80</v>
      </c>
      <c r="T90" s="5" t="s">
        <v>165</v>
      </c>
      <c r="U90" s="5" t="s">
        <v>77</v>
      </c>
      <c r="V90" s="13" t="s">
        <v>173</v>
      </c>
      <c r="W90" s="5" t="s">
        <v>82</v>
      </c>
      <c r="X90" s="5" t="s">
        <v>122</v>
      </c>
      <c r="Y90" s="8" t="s">
        <v>4</v>
      </c>
      <c r="Z90" s="12">
        <v>45548</v>
      </c>
      <c r="AA90" s="5" t="s">
        <v>290</v>
      </c>
      <c r="AB90" s="5" t="s">
        <v>279</v>
      </c>
      <c r="AC90" s="5" t="s">
        <v>207</v>
      </c>
      <c r="AD90" s="15">
        <f t="shared" si="4"/>
        <v>69</v>
      </c>
      <c r="AE90" s="15">
        <v>2</v>
      </c>
      <c r="AF90" s="13" t="s">
        <v>464</v>
      </c>
      <c r="AG90" s="5" t="s">
        <v>279</v>
      </c>
      <c r="AH90" s="13" t="s">
        <v>173</v>
      </c>
      <c r="AI90" s="5" t="s">
        <v>326</v>
      </c>
      <c r="AJ90" s="5" t="s">
        <v>327</v>
      </c>
      <c r="AK90" s="5"/>
      <c r="AL90" s="5"/>
      <c r="AM90" s="5"/>
      <c r="AN90" s="5" t="s">
        <v>207</v>
      </c>
      <c r="AO90" s="47" t="s">
        <v>320</v>
      </c>
      <c r="AP90" s="5" t="s">
        <v>4</v>
      </c>
    </row>
    <row r="91" spans="1:42" ht="45" x14ac:dyDescent="0.25">
      <c r="A91" s="35">
        <v>523229</v>
      </c>
      <c r="B91" s="10" t="s">
        <v>23</v>
      </c>
      <c r="C91" s="5" t="s">
        <v>76</v>
      </c>
      <c r="D91" s="12">
        <v>45304</v>
      </c>
      <c r="E91" s="12">
        <v>45492</v>
      </c>
      <c r="F91" s="5" t="s">
        <v>77</v>
      </c>
      <c r="G91" s="12">
        <v>32883</v>
      </c>
      <c r="H91" s="15">
        <f t="shared" si="5"/>
        <v>34</v>
      </c>
      <c r="I91" s="5">
        <v>0</v>
      </c>
      <c r="J91" s="5">
        <v>34</v>
      </c>
      <c r="K91" s="5" t="s">
        <v>30</v>
      </c>
      <c r="L91" s="5" t="s">
        <v>78</v>
      </c>
      <c r="M91" s="5" t="s">
        <v>369</v>
      </c>
      <c r="N91" s="13" t="s">
        <v>417</v>
      </c>
      <c r="O91" s="5" t="s">
        <v>363</v>
      </c>
      <c r="P91" s="5">
        <v>3</v>
      </c>
      <c r="Q91" s="5">
        <v>0</v>
      </c>
      <c r="R91" s="5">
        <v>1</v>
      </c>
      <c r="S91" s="5" t="s">
        <v>80</v>
      </c>
      <c r="T91" s="5" t="s">
        <v>165</v>
      </c>
      <c r="U91" s="5" t="s">
        <v>77</v>
      </c>
      <c r="V91" s="13" t="s">
        <v>210</v>
      </c>
      <c r="W91" s="5" t="s">
        <v>82</v>
      </c>
      <c r="X91" s="5" t="s">
        <v>373</v>
      </c>
      <c r="Y91" s="8" t="s">
        <v>76</v>
      </c>
      <c r="Z91" s="12">
        <v>45509</v>
      </c>
      <c r="AA91" s="5" t="s">
        <v>418</v>
      </c>
      <c r="AB91" s="6"/>
      <c r="AC91" s="13" t="s">
        <v>419</v>
      </c>
      <c r="AD91" s="15">
        <f t="shared" si="4"/>
        <v>17</v>
      </c>
      <c r="AE91" s="5">
        <v>1</v>
      </c>
      <c r="AF91" s="13" t="s">
        <v>420</v>
      </c>
      <c r="AG91" s="5" t="s">
        <v>279</v>
      </c>
      <c r="AH91" s="5" t="s">
        <v>210</v>
      </c>
      <c r="AI91" s="5" t="s">
        <v>82</v>
      </c>
      <c r="AJ91" s="5" t="s">
        <v>373</v>
      </c>
      <c r="AK91" s="5"/>
      <c r="AL91" s="5"/>
      <c r="AM91" s="5"/>
      <c r="AN91" s="5" t="s">
        <v>260</v>
      </c>
      <c r="AO91" s="5" t="s">
        <v>313</v>
      </c>
      <c r="AP91" s="5" t="s">
        <v>260</v>
      </c>
    </row>
    <row r="92" spans="1:42" ht="105" x14ac:dyDescent="0.25">
      <c r="A92" s="1">
        <v>523602</v>
      </c>
      <c r="B92" s="1" t="s">
        <v>3</v>
      </c>
      <c r="C92" s="7" t="s">
        <v>76</v>
      </c>
      <c r="D92" s="12">
        <v>45336</v>
      </c>
      <c r="E92" s="12">
        <v>45498</v>
      </c>
      <c r="F92" s="5" t="s">
        <v>77</v>
      </c>
      <c r="G92" s="14">
        <v>33604</v>
      </c>
      <c r="H92" s="44">
        <f t="shared" si="5"/>
        <v>32</v>
      </c>
      <c r="I92" s="45">
        <v>1</v>
      </c>
      <c r="J92" s="6">
        <v>26</v>
      </c>
      <c r="K92" s="6" t="s">
        <v>30</v>
      </c>
      <c r="L92" s="6" t="s">
        <v>78</v>
      </c>
      <c r="M92" s="5" t="s">
        <v>78</v>
      </c>
      <c r="N92" s="5" t="s">
        <v>79</v>
      </c>
      <c r="O92" s="2">
        <f>25+2/7</f>
        <v>25.285714285714285</v>
      </c>
      <c r="P92" s="5" t="s">
        <v>90</v>
      </c>
      <c r="Q92" s="5">
        <v>0</v>
      </c>
      <c r="R92" s="5" t="s">
        <v>98</v>
      </c>
      <c r="S92" s="5" t="s">
        <v>80</v>
      </c>
      <c r="T92" s="5" t="s">
        <v>165</v>
      </c>
      <c r="U92" s="5" t="s">
        <v>77</v>
      </c>
      <c r="V92" s="13" t="s">
        <v>81</v>
      </c>
      <c r="W92" s="5" t="s">
        <v>82</v>
      </c>
      <c r="X92" s="5" t="s">
        <v>83</v>
      </c>
      <c r="Y92" s="8" t="s">
        <v>76</v>
      </c>
      <c r="Z92" s="12">
        <v>45570</v>
      </c>
      <c r="AA92" s="5">
        <f>35+4/7</f>
        <v>35.571428571428569</v>
      </c>
      <c r="AB92" s="13" t="s">
        <v>85</v>
      </c>
      <c r="AC92" s="13" t="s">
        <v>123</v>
      </c>
      <c r="AD92" s="15">
        <f t="shared" si="4"/>
        <v>72</v>
      </c>
      <c r="AE92" s="15">
        <v>2</v>
      </c>
      <c r="AF92" s="13" t="s">
        <v>86</v>
      </c>
      <c r="AG92" s="6" t="s">
        <v>87</v>
      </c>
      <c r="AH92" s="13" t="s">
        <v>88</v>
      </c>
      <c r="AI92" s="5" t="s">
        <v>82</v>
      </c>
      <c r="AJ92" s="13" t="s">
        <v>89</v>
      </c>
      <c r="AK92" s="16"/>
      <c r="AL92" s="27"/>
      <c r="AM92" s="5"/>
      <c r="AN92" s="6" t="s">
        <v>343</v>
      </c>
      <c r="AO92" s="6" t="s">
        <v>491</v>
      </c>
      <c r="AP92" s="6" t="s">
        <v>4</v>
      </c>
    </row>
    <row r="93" spans="1:42" ht="30" x14ac:dyDescent="0.25">
      <c r="A93" s="1">
        <v>523846</v>
      </c>
      <c r="B93" s="1" t="s">
        <v>3</v>
      </c>
      <c r="C93" s="7" t="s">
        <v>101</v>
      </c>
      <c r="D93" s="12">
        <v>45275</v>
      </c>
      <c r="E93" s="12">
        <v>45493</v>
      </c>
      <c r="F93" s="5" t="s">
        <v>77</v>
      </c>
      <c r="G93" s="14">
        <v>31275</v>
      </c>
      <c r="H93" s="44">
        <f t="shared" si="5"/>
        <v>38</v>
      </c>
      <c r="I93" s="6">
        <v>0</v>
      </c>
      <c r="J93" s="6">
        <v>27</v>
      </c>
      <c r="K93" s="6" t="s">
        <v>30</v>
      </c>
      <c r="L93" s="6" t="s">
        <v>78</v>
      </c>
      <c r="M93" s="5" t="s">
        <v>5</v>
      </c>
      <c r="N93" s="5" t="s">
        <v>108</v>
      </c>
      <c r="O93" s="8">
        <f>33+1/7</f>
        <v>33.142857142857146</v>
      </c>
      <c r="P93" s="5">
        <v>7</v>
      </c>
      <c r="Q93" s="5">
        <v>0</v>
      </c>
      <c r="R93" s="5" t="s">
        <v>102</v>
      </c>
      <c r="S93" s="5" t="s">
        <v>80</v>
      </c>
      <c r="T93" s="5" t="s">
        <v>95</v>
      </c>
      <c r="U93" s="5" t="s">
        <v>78</v>
      </c>
      <c r="V93" s="5" t="s">
        <v>107</v>
      </c>
      <c r="W93" s="5" t="s">
        <v>82</v>
      </c>
      <c r="X93" s="5" t="s">
        <v>111</v>
      </c>
      <c r="Y93" s="8" t="s">
        <v>127</v>
      </c>
      <c r="Z93" s="12">
        <v>45520</v>
      </c>
      <c r="AA93" s="5">
        <f>37+1/7</f>
        <v>37.142857142857146</v>
      </c>
      <c r="AB93" s="5" t="s">
        <v>78</v>
      </c>
      <c r="AC93" s="27" t="s">
        <v>124</v>
      </c>
      <c r="AD93" s="15">
        <f t="shared" si="4"/>
        <v>27</v>
      </c>
      <c r="AE93" s="15">
        <v>0</v>
      </c>
      <c r="AF93" s="5" t="s">
        <v>78</v>
      </c>
      <c r="AG93" s="5" t="s">
        <v>80</v>
      </c>
      <c r="AH93" s="5" t="s">
        <v>110</v>
      </c>
      <c r="AI93" s="5" t="s">
        <v>82</v>
      </c>
      <c r="AJ93" s="5" t="s">
        <v>112</v>
      </c>
      <c r="AK93" s="5"/>
      <c r="AL93" s="5"/>
      <c r="AM93" s="5"/>
      <c r="AN93" s="6" t="s">
        <v>207</v>
      </c>
      <c r="AO93" s="5" t="s">
        <v>290</v>
      </c>
      <c r="AP93" s="5" t="s">
        <v>4</v>
      </c>
    </row>
    <row r="94" spans="1:42" x14ac:dyDescent="0.25">
      <c r="A94" s="35">
        <v>524050</v>
      </c>
      <c r="B94" s="10" t="s">
        <v>23</v>
      </c>
      <c r="C94" s="5" t="s">
        <v>39</v>
      </c>
      <c r="D94" s="12">
        <v>45298</v>
      </c>
      <c r="E94" s="12">
        <v>45520</v>
      </c>
      <c r="F94" s="5" t="s">
        <v>77</v>
      </c>
      <c r="G94" s="12">
        <v>33515</v>
      </c>
      <c r="H94" s="15">
        <f t="shared" si="5"/>
        <v>32</v>
      </c>
      <c r="I94" s="5">
        <v>1</v>
      </c>
      <c r="J94" s="5">
        <v>30</v>
      </c>
      <c r="K94" s="5" t="s">
        <v>30</v>
      </c>
      <c r="L94" s="5" t="s">
        <v>78</v>
      </c>
      <c r="M94" s="5" t="s">
        <v>441</v>
      </c>
      <c r="N94" s="5"/>
      <c r="O94" s="5" t="s">
        <v>177</v>
      </c>
      <c r="P94" s="5">
        <v>2</v>
      </c>
      <c r="Q94" s="5">
        <v>0</v>
      </c>
      <c r="R94" s="5">
        <v>1</v>
      </c>
      <c r="S94" s="5" t="s">
        <v>80</v>
      </c>
      <c r="T94" s="5" t="s">
        <v>95</v>
      </c>
      <c r="U94" s="5" t="s">
        <v>78</v>
      </c>
      <c r="V94" s="5" t="s">
        <v>210</v>
      </c>
      <c r="W94" s="5" t="s">
        <v>82</v>
      </c>
      <c r="X94" s="5" t="s">
        <v>373</v>
      </c>
      <c r="Y94" s="8" t="s">
        <v>39</v>
      </c>
      <c r="Z94" s="12">
        <v>45558</v>
      </c>
      <c r="AA94" s="5" t="s">
        <v>438</v>
      </c>
      <c r="AB94" s="5" t="s">
        <v>78</v>
      </c>
      <c r="AC94" s="5" t="s">
        <v>134</v>
      </c>
      <c r="AD94" s="15">
        <f t="shared" si="4"/>
        <v>38</v>
      </c>
      <c r="AE94" s="5">
        <v>0</v>
      </c>
      <c r="AF94" s="5"/>
      <c r="AG94" s="5" t="s">
        <v>80</v>
      </c>
      <c r="AH94" s="5" t="s">
        <v>210</v>
      </c>
      <c r="AI94" s="5" t="s">
        <v>82</v>
      </c>
      <c r="AJ94" s="5" t="s">
        <v>373</v>
      </c>
      <c r="AK94" s="5"/>
      <c r="AL94" s="5"/>
      <c r="AM94" s="5"/>
      <c r="AN94" s="5" t="s">
        <v>134</v>
      </c>
      <c r="AO94" s="5" t="s">
        <v>438</v>
      </c>
      <c r="AP94" s="5"/>
    </row>
    <row r="95" spans="1:42" ht="90" x14ac:dyDescent="0.25">
      <c r="A95" s="3">
        <v>524225</v>
      </c>
      <c r="B95" s="9" t="s">
        <v>7</v>
      </c>
      <c r="C95" s="36" t="s">
        <v>5</v>
      </c>
      <c r="D95" s="12">
        <v>45346</v>
      </c>
      <c r="E95" s="12">
        <v>45516</v>
      </c>
      <c r="F95" s="5" t="s">
        <v>77</v>
      </c>
      <c r="G95" s="12">
        <v>32316</v>
      </c>
      <c r="H95" s="15">
        <f t="shared" si="5"/>
        <v>35</v>
      </c>
      <c r="I95" s="5">
        <v>1</v>
      </c>
      <c r="J95" s="5">
        <v>29</v>
      </c>
      <c r="K95" s="5" t="s">
        <v>30</v>
      </c>
      <c r="L95" s="5" t="s">
        <v>78</v>
      </c>
      <c r="M95" s="13" t="s">
        <v>215</v>
      </c>
      <c r="N95" s="13" t="s">
        <v>217</v>
      </c>
      <c r="O95" s="5">
        <v>26</v>
      </c>
      <c r="P95" s="5">
        <v>3</v>
      </c>
      <c r="Q95" s="5">
        <v>1</v>
      </c>
      <c r="R95" s="5" t="s">
        <v>98</v>
      </c>
      <c r="S95" s="5" t="s">
        <v>80</v>
      </c>
      <c r="T95" s="6" t="s">
        <v>95</v>
      </c>
      <c r="U95" s="5" t="s">
        <v>78</v>
      </c>
      <c r="V95" s="13" t="s">
        <v>218</v>
      </c>
      <c r="W95" s="6" t="s">
        <v>82</v>
      </c>
      <c r="X95" s="6" t="s">
        <v>214</v>
      </c>
      <c r="Y95" s="8" t="s">
        <v>5</v>
      </c>
      <c r="Z95" s="12">
        <v>45596</v>
      </c>
      <c r="AA95" s="5" t="s">
        <v>219</v>
      </c>
      <c r="AB95" s="5" t="s">
        <v>78</v>
      </c>
      <c r="AC95" s="5" t="s">
        <v>207</v>
      </c>
      <c r="AD95" s="15">
        <f t="shared" si="4"/>
        <v>80</v>
      </c>
      <c r="AE95" s="15">
        <v>2</v>
      </c>
      <c r="AF95" s="13" t="s">
        <v>216</v>
      </c>
      <c r="AG95" s="5" t="s">
        <v>80</v>
      </c>
      <c r="AH95" s="13" t="s">
        <v>173</v>
      </c>
      <c r="AI95" s="6" t="s">
        <v>82</v>
      </c>
      <c r="AJ95" s="6" t="s">
        <v>83</v>
      </c>
      <c r="AK95" s="5"/>
      <c r="AL95" s="5"/>
      <c r="AM95" s="5"/>
      <c r="AN95" s="5" t="s">
        <v>207</v>
      </c>
      <c r="AO95" s="5" t="s">
        <v>251</v>
      </c>
      <c r="AP95" s="5" t="s">
        <v>39</v>
      </c>
    </row>
    <row r="96" spans="1:42" x14ac:dyDescent="0.25">
      <c r="A96" s="3">
        <v>524484</v>
      </c>
      <c r="B96" s="9" t="s">
        <v>7</v>
      </c>
      <c r="C96" s="36" t="s">
        <v>76</v>
      </c>
      <c r="D96" s="12">
        <v>45319</v>
      </c>
      <c r="E96" s="12">
        <v>45533</v>
      </c>
      <c r="F96" s="5" t="s">
        <v>77</v>
      </c>
      <c r="G96" s="12">
        <v>30995</v>
      </c>
      <c r="H96" s="15">
        <f t="shared" si="5"/>
        <v>39</v>
      </c>
      <c r="I96" s="5">
        <v>2</v>
      </c>
      <c r="J96" s="5">
        <v>40</v>
      </c>
      <c r="K96" s="5" t="s">
        <v>30</v>
      </c>
      <c r="L96" s="5" t="s">
        <v>78</v>
      </c>
      <c r="M96" s="5" t="s">
        <v>315</v>
      </c>
      <c r="N96" s="5" t="s">
        <v>92</v>
      </c>
      <c r="O96" s="5" t="s">
        <v>316</v>
      </c>
      <c r="P96" s="5">
        <v>2</v>
      </c>
      <c r="Q96" s="5">
        <v>1</v>
      </c>
      <c r="R96" s="5" t="s">
        <v>98</v>
      </c>
      <c r="S96" s="5" t="s">
        <v>80</v>
      </c>
      <c r="T96" s="5" t="s">
        <v>165</v>
      </c>
      <c r="U96" s="5" t="s">
        <v>78</v>
      </c>
      <c r="V96" s="5" t="s">
        <v>94</v>
      </c>
      <c r="W96" s="5" t="s">
        <v>82</v>
      </c>
      <c r="X96" s="5" t="s">
        <v>83</v>
      </c>
      <c r="Y96" s="8" t="s">
        <v>76</v>
      </c>
      <c r="Z96" s="12">
        <v>45572</v>
      </c>
      <c r="AA96" s="5" t="s">
        <v>317</v>
      </c>
      <c r="AB96" s="5" t="s">
        <v>78</v>
      </c>
      <c r="AC96" s="5" t="s">
        <v>207</v>
      </c>
      <c r="AD96" s="15">
        <f t="shared" si="4"/>
        <v>39</v>
      </c>
      <c r="AE96" s="15">
        <v>0</v>
      </c>
      <c r="AF96" s="5"/>
      <c r="AG96" s="5" t="s">
        <v>279</v>
      </c>
      <c r="AH96" s="5" t="s">
        <v>94</v>
      </c>
      <c r="AI96" s="5" t="s">
        <v>82</v>
      </c>
      <c r="AJ96" s="5" t="s">
        <v>121</v>
      </c>
      <c r="AK96" s="5"/>
      <c r="AL96" s="5"/>
      <c r="AM96" s="5"/>
      <c r="AN96" s="5" t="s">
        <v>207</v>
      </c>
      <c r="AO96" s="5" t="s">
        <v>162</v>
      </c>
      <c r="AP96" s="5" t="s">
        <v>318</v>
      </c>
    </row>
    <row r="97" spans="1:42" ht="60" x14ac:dyDescent="0.25">
      <c r="A97" s="99">
        <v>524742</v>
      </c>
      <c r="B97" s="98" t="s">
        <v>23</v>
      </c>
      <c r="C97" s="51" t="s">
        <v>39</v>
      </c>
      <c r="D97" s="52">
        <v>45313</v>
      </c>
      <c r="E97" s="52">
        <v>45511</v>
      </c>
      <c r="F97" s="51" t="s">
        <v>78</v>
      </c>
      <c r="G97" s="52">
        <v>34934</v>
      </c>
      <c r="H97" s="39">
        <f t="shared" si="5"/>
        <v>28</v>
      </c>
      <c r="I97" s="51">
        <v>1</v>
      </c>
      <c r="J97" s="51">
        <v>31</v>
      </c>
      <c r="K97" s="51" t="s">
        <v>30</v>
      </c>
      <c r="L97" s="51" t="s">
        <v>78</v>
      </c>
      <c r="M97" s="51" t="s">
        <v>39</v>
      </c>
      <c r="N97" s="51" t="s">
        <v>92</v>
      </c>
      <c r="O97" s="51" t="s">
        <v>341</v>
      </c>
      <c r="P97" s="51">
        <v>2</v>
      </c>
      <c r="Q97" s="51">
        <v>0</v>
      </c>
      <c r="R97" s="51">
        <v>1</v>
      </c>
      <c r="S97" s="51" t="s">
        <v>80</v>
      </c>
      <c r="T97" s="51" t="s">
        <v>95</v>
      </c>
      <c r="U97" s="51" t="s">
        <v>78</v>
      </c>
      <c r="V97" s="40" t="s">
        <v>554</v>
      </c>
      <c r="W97" s="51" t="s">
        <v>82</v>
      </c>
      <c r="X97" s="51" t="s">
        <v>373</v>
      </c>
      <c r="Y97" s="8" t="s">
        <v>39</v>
      </c>
      <c r="Z97" s="52">
        <v>45570</v>
      </c>
      <c r="AA97" s="51" t="s">
        <v>335</v>
      </c>
      <c r="AB97" s="51" t="s">
        <v>78</v>
      </c>
      <c r="AC97" s="51" t="s">
        <v>207</v>
      </c>
      <c r="AD97" s="39">
        <f t="shared" si="4"/>
        <v>59</v>
      </c>
      <c r="AE97" s="51">
        <v>0</v>
      </c>
      <c r="AF97" s="51"/>
      <c r="AG97" s="51" t="s">
        <v>80</v>
      </c>
      <c r="AH97" s="51" t="s">
        <v>110</v>
      </c>
      <c r="AI97" s="51" t="s">
        <v>82</v>
      </c>
      <c r="AJ97" s="51" t="s">
        <v>373</v>
      </c>
      <c r="AK97" s="51"/>
      <c r="AL97" s="51"/>
      <c r="AM97" s="51"/>
      <c r="AN97" s="51" t="s">
        <v>207</v>
      </c>
      <c r="AO97" s="51" t="s">
        <v>270</v>
      </c>
      <c r="AP97" s="40" t="s">
        <v>555</v>
      </c>
    </row>
    <row r="98" spans="1:42" ht="30" x14ac:dyDescent="0.25">
      <c r="A98" s="1">
        <v>525068</v>
      </c>
      <c r="B98" s="1" t="s">
        <v>3</v>
      </c>
      <c r="C98" s="7" t="s">
        <v>6</v>
      </c>
      <c r="D98" s="12">
        <v>45334</v>
      </c>
      <c r="E98" s="12">
        <v>45545</v>
      </c>
      <c r="F98" s="5" t="s">
        <v>77</v>
      </c>
      <c r="G98" s="14">
        <v>32922</v>
      </c>
      <c r="H98" s="44">
        <f t="shared" si="5"/>
        <v>33</v>
      </c>
      <c r="I98" s="6">
        <v>1</v>
      </c>
      <c r="J98" s="6">
        <v>35</v>
      </c>
      <c r="K98" s="6" t="s">
        <v>30</v>
      </c>
      <c r="L98" s="6" t="s">
        <v>78</v>
      </c>
      <c r="M98" s="5" t="s">
        <v>182</v>
      </c>
      <c r="N98" s="5" t="s">
        <v>181</v>
      </c>
      <c r="O98" s="8">
        <f>32+1/7</f>
        <v>32.142857142857146</v>
      </c>
      <c r="P98" s="5">
        <v>3</v>
      </c>
      <c r="Q98" s="5">
        <v>0</v>
      </c>
      <c r="R98" s="6" t="s">
        <v>100</v>
      </c>
      <c r="S98" s="6" t="s">
        <v>80</v>
      </c>
      <c r="T98" s="6" t="s">
        <v>95</v>
      </c>
      <c r="U98" s="5" t="s">
        <v>78</v>
      </c>
      <c r="V98" s="13" t="s">
        <v>128</v>
      </c>
      <c r="W98" s="6" t="s">
        <v>82</v>
      </c>
      <c r="X98" s="6" t="s">
        <v>83</v>
      </c>
      <c r="Y98" s="8" t="s">
        <v>5</v>
      </c>
      <c r="Z98" s="12">
        <v>45586</v>
      </c>
      <c r="AA98" s="5">
        <v>38</v>
      </c>
      <c r="AB98" s="5" t="s">
        <v>78</v>
      </c>
      <c r="AC98" s="27" t="s">
        <v>124</v>
      </c>
      <c r="AD98" s="15">
        <f t="shared" ref="AD98:AD114" si="6">DATEDIF(E98,Z98,"D")</f>
        <v>41</v>
      </c>
      <c r="AE98" s="15">
        <v>0</v>
      </c>
      <c r="AF98" s="5" t="s">
        <v>78</v>
      </c>
      <c r="AG98" s="6" t="s">
        <v>80</v>
      </c>
      <c r="AH98" s="5" t="s">
        <v>94</v>
      </c>
      <c r="AI98" s="6" t="s">
        <v>82</v>
      </c>
      <c r="AJ98" s="6" t="s">
        <v>83</v>
      </c>
      <c r="AK98" s="5"/>
      <c r="AL98" s="13"/>
      <c r="AM98" s="5"/>
      <c r="AN98" s="5" t="s">
        <v>207</v>
      </c>
      <c r="AO98" s="5" t="s">
        <v>162</v>
      </c>
      <c r="AP98" s="5" t="s">
        <v>5</v>
      </c>
    </row>
    <row r="99" spans="1:42" ht="60" x14ac:dyDescent="0.25">
      <c r="A99" s="32">
        <v>525515</v>
      </c>
      <c r="B99" s="4" t="s">
        <v>8</v>
      </c>
      <c r="C99" s="5" t="s">
        <v>39</v>
      </c>
      <c r="D99" s="12">
        <v>45397</v>
      </c>
      <c r="E99" s="12">
        <v>45588</v>
      </c>
      <c r="F99" s="5" t="s">
        <v>77</v>
      </c>
      <c r="G99" s="12">
        <v>30269</v>
      </c>
      <c r="H99" s="15">
        <f t="shared" si="5"/>
        <v>41</v>
      </c>
      <c r="I99" s="5">
        <v>4</v>
      </c>
      <c r="J99" s="5">
        <v>34</v>
      </c>
      <c r="K99" s="5" t="s">
        <v>30</v>
      </c>
      <c r="L99" s="5" t="s">
        <v>78</v>
      </c>
      <c r="M99" s="5"/>
      <c r="N99" s="13" t="s">
        <v>393</v>
      </c>
      <c r="O99" s="5" t="s">
        <v>390</v>
      </c>
      <c r="P99" s="5">
        <v>2</v>
      </c>
      <c r="Q99" s="5">
        <v>0</v>
      </c>
      <c r="R99" s="5">
        <v>1</v>
      </c>
      <c r="S99" s="5" t="s">
        <v>80</v>
      </c>
      <c r="T99" s="5" t="s">
        <v>95</v>
      </c>
      <c r="U99" s="5" t="s">
        <v>78</v>
      </c>
      <c r="V99" s="5" t="s">
        <v>107</v>
      </c>
      <c r="W99" s="5" t="s">
        <v>82</v>
      </c>
      <c r="X99" s="5" t="s">
        <v>351</v>
      </c>
      <c r="Y99" s="8" t="s">
        <v>39</v>
      </c>
      <c r="Z99" s="12">
        <v>45647</v>
      </c>
      <c r="AA99" s="5" t="s">
        <v>394</v>
      </c>
      <c r="AB99" s="5" t="s">
        <v>78</v>
      </c>
      <c r="AC99" s="5" t="s">
        <v>134</v>
      </c>
      <c r="AD99" s="15">
        <f t="shared" si="6"/>
        <v>59</v>
      </c>
      <c r="AE99" s="5">
        <v>2</v>
      </c>
      <c r="AF99" s="13" t="s">
        <v>396</v>
      </c>
      <c r="AG99" s="5" t="s">
        <v>80</v>
      </c>
      <c r="AH99" s="5" t="s">
        <v>107</v>
      </c>
      <c r="AI99" s="5" t="s">
        <v>82</v>
      </c>
      <c r="AJ99" s="5" t="s">
        <v>351</v>
      </c>
      <c r="AK99" s="5"/>
      <c r="AL99" s="5"/>
      <c r="AM99" s="5"/>
      <c r="AN99" s="5" t="s">
        <v>134</v>
      </c>
      <c r="AO99" s="5" t="s">
        <v>395</v>
      </c>
      <c r="AP99" s="5"/>
    </row>
    <row r="100" spans="1:42" ht="30" x14ac:dyDescent="0.25">
      <c r="A100" s="35">
        <v>525713</v>
      </c>
      <c r="B100" s="10" t="s">
        <v>23</v>
      </c>
      <c r="C100" s="5" t="s">
        <v>39</v>
      </c>
      <c r="D100" s="12">
        <v>45403</v>
      </c>
      <c r="E100" s="12">
        <v>45594</v>
      </c>
      <c r="F100" s="5" t="s">
        <v>78</v>
      </c>
      <c r="G100" s="12">
        <v>31503</v>
      </c>
      <c r="H100" s="15">
        <f t="shared" si="5"/>
        <v>38</v>
      </c>
      <c r="I100" s="5">
        <v>3</v>
      </c>
      <c r="J100" s="5" t="s">
        <v>208</v>
      </c>
      <c r="K100" s="5" t="s">
        <v>30</v>
      </c>
      <c r="L100" s="5" t="s">
        <v>78</v>
      </c>
      <c r="M100" s="13" t="s">
        <v>428</v>
      </c>
      <c r="N100" s="5" t="s">
        <v>154</v>
      </c>
      <c r="O100" s="5" t="s">
        <v>390</v>
      </c>
      <c r="P100" s="5">
        <v>2</v>
      </c>
      <c r="Q100" s="5">
        <v>0</v>
      </c>
      <c r="R100" s="5">
        <v>1</v>
      </c>
      <c r="S100" s="5" t="s">
        <v>80</v>
      </c>
      <c r="T100" s="5" t="s">
        <v>95</v>
      </c>
      <c r="U100" s="5" t="s">
        <v>77</v>
      </c>
      <c r="V100" s="13" t="s">
        <v>153</v>
      </c>
      <c r="W100" s="5" t="s">
        <v>431</v>
      </c>
      <c r="X100" s="5" t="s">
        <v>373</v>
      </c>
      <c r="Y100" s="8" t="s">
        <v>39</v>
      </c>
      <c r="Z100" s="12">
        <v>45597</v>
      </c>
      <c r="AA100" s="5" t="s">
        <v>430</v>
      </c>
      <c r="AB100" s="5" t="s">
        <v>4</v>
      </c>
      <c r="AC100" s="13" t="s">
        <v>429</v>
      </c>
      <c r="AD100" s="15">
        <f t="shared" si="6"/>
        <v>3</v>
      </c>
      <c r="AE100" s="5">
        <v>1</v>
      </c>
      <c r="AF100" s="5" t="s">
        <v>127</v>
      </c>
      <c r="AG100" s="5" t="s">
        <v>80</v>
      </c>
      <c r="AH100" s="13" t="s">
        <v>153</v>
      </c>
      <c r="AI100" s="5" t="s">
        <v>432</v>
      </c>
      <c r="AJ100" s="13" t="s">
        <v>434</v>
      </c>
      <c r="AK100" s="5"/>
      <c r="AL100" s="5"/>
      <c r="AM100" s="5"/>
      <c r="AN100" s="5" t="s">
        <v>4</v>
      </c>
      <c r="AO100" s="6" t="s">
        <v>366</v>
      </c>
      <c r="AP100" s="27" t="s">
        <v>507</v>
      </c>
    </row>
    <row r="101" spans="1:42" ht="30" x14ac:dyDescent="0.25">
      <c r="A101" s="3">
        <v>525863</v>
      </c>
      <c r="B101" s="9" t="s">
        <v>7</v>
      </c>
      <c r="C101" s="36" t="s">
        <v>5</v>
      </c>
      <c r="D101" s="12">
        <v>45342</v>
      </c>
      <c r="E101" s="12">
        <v>45555</v>
      </c>
      <c r="F101" s="5" t="s">
        <v>77</v>
      </c>
      <c r="G101" s="12">
        <v>30887</v>
      </c>
      <c r="H101" s="15">
        <f t="shared" si="5"/>
        <v>39</v>
      </c>
      <c r="I101" s="5">
        <v>1</v>
      </c>
      <c r="J101" s="5">
        <v>38</v>
      </c>
      <c r="K101" s="5" t="s">
        <v>30</v>
      </c>
      <c r="L101" s="5" t="s">
        <v>78</v>
      </c>
      <c r="M101" s="13" t="s">
        <v>304</v>
      </c>
      <c r="N101" s="5" t="s">
        <v>181</v>
      </c>
      <c r="O101" s="5" t="s">
        <v>206</v>
      </c>
      <c r="P101" s="5">
        <v>2</v>
      </c>
      <c r="Q101" s="5">
        <v>1</v>
      </c>
      <c r="R101" s="5" t="s">
        <v>100</v>
      </c>
      <c r="S101" s="5" t="s">
        <v>80</v>
      </c>
      <c r="T101" s="5" t="s">
        <v>95</v>
      </c>
      <c r="U101" s="5" t="s">
        <v>78</v>
      </c>
      <c r="V101" s="5" t="s">
        <v>94</v>
      </c>
      <c r="W101" s="5"/>
      <c r="X101" s="5" t="s">
        <v>83</v>
      </c>
      <c r="Y101" s="46" t="s">
        <v>5</v>
      </c>
      <c r="Z101" s="12">
        <v>45595</v>
      </c>
      <c r="AA101" s="5" t="s">
        <v>251</v>
      </c>
      <c r="AB101" s="5" t="s">
        <v>78</v>
      </c>
      <c r="AC101" s="5" t="s">
        <v>207</v>
      </c>
      <c r="AD101" s="15">
        <f t="shared" si="6"/>
        <v>40</v>
      </c>
      <c r="AE101" s="15">
        <v>0</v>
      </c>
      <c r="AF101" s="5"/>
      <c r="AG101" s="5" t="s">
        <v>80</v>
      </c>
      <c r="AH101" s="5" t="s">
        <v>94</v>
      </c>
      <c r="AI101" s="5"/>
      <c r="AJ101" s="5" t="s">
        <v>83</v>
      </c>
      <c r="AK101" s="5"/>
      <c r="AL101" s="5"/>
      <c r="AM101" s="5"/>
      <c r="AN101" s="5" t="s">
        <v>207</v>
      </c>
      <c r="AO101" s="5" t="s">
        <v>162</v>
      </c>
      <c r="AP101" s="5" t="s">
        <v>312</v>
      </c>
    </row>
    <row r="102" spans="1:42" ht="30" x14ac:dyDescent="0.25">
      <c r="A102" s="32">
        <v>526422</v>
      </c>
      <c r="B102" s="4" t="s">
        <v>8</v>
      </c>
      <c r="C102" s="5" t="s">
        <v>39</v>
      </c>
      <c r="D102" s="12">
        <v>45382</v>
      </c>
      <c r="E102" s="12">
        <v>45569</v>
      </c>
      <c r="F102" s="5" t="s">
        <v>77</v>
      </c>
      <c r="G102" s="12">
        <v>31034</v>
      </c>
      <c r="H102" s="15">
        <f t="shared" si="5"/>
        <v>39</v>
      </c>
      <c r="I102" s="5">
        <v>3</v>
      </c>
      <c r="J102" s="5">
        <v>32</v>
      </c>
      <c r="K102" s="5" t="s">
        <v>30</v>
      </c>
      <c r="L102" s="5" t="s">
        <v>78</v>
      </c>
      <c r="M102" s="13" t="s">
        <v>391</v>
      </c>
      <c r="N102" s="5"/>
      <c r="O102" s="5" t="s">
        <v>392</v>
      </c>
      <c r="P102" s="5">
        <v>2</v>
      </c>
      <c r="Q102" s="5">
        <v>0</v>
      </c>
      <c r="R102" s="5">
        <v>1</v>
      </c>
      <c r="S102" s="5" t="s">
        <v>80</v>
      </c>
      <c r="T102" s="5" t="s">
        <v>95</v>
      </c>
      <c r="U102" s="5" t="s">
        <v>78</v>
      </c>
      <c r="V102" s="5" t="s">
        <v>94</v>
      </c>
      <c r="W102" s="5" t="s">
        <v>82</v>
      </c>
      <c r="X102" s="5" t="s">
        <v>351</v>
      </c>
      <c r="Y102" s="8" t="s">
        <v>39</v>
      </c>
      <c r="Z102" s="12">
        <v>45647</v>
      </c>
      <c r="AA102" s="5" t="s">
        <v>337</v>
      </c>
      <c r="AB102" s="5" t="s">
        <v>78</v>
      </c>
      <c r="AC102" s="5" t="s">
        <v>134</v>
      </c>
      <c r="AD102" s="15">
        <f t="shared" si="6"/>
        <v>78</v>
      </c>
      <c r="AE102" s="5">
        <v>0</v>
      </c>
      <c r="AF102" s="5"/>
      <c r="AG102" s="5" t="s">
        <v>80</v>
      </c>
      <c r="AH102" s="5" t="s">
        <v>94</v>
      </c>
      <c r="AI102" s="5" t="s">
        <v>82</v>
      </c>
      <c r="AJ102" s="5" t="s">
        <v>351</v>
      </c>
      <c r="AK102" s="5"/>
      <c r="AL102" s="5"/>
      <c r="AM102" s="5"/>
      <c r="AN102" s="5" t="s">
        <v>134</v>
      </c>
      <c r="AO102" s="5" t="s">
        <v>378</v>
      </c>
      <c r="AP102" s="5"/>
    </row>
    <row r="103" spans="1:42" ht="60" x14ac:dyDescent="0.25">
      <c r="A103" s="3">
        <v>526609</v>
      </c>
      <c r="B103" s="9" t="s">
        <v>7</v>
      </c>
      <c r="C103" s="36" t="s">
        <v>5</v>
      </c>
      <c r="D103" s="12">
        <v>45355</v>
      </c>
      <c r="E103" s="12">
        <v>45560</v>
      </c>
      <c r="F103" s="5" t="s">
        <v>77</v>
      </c>
      <c r="G103" s="12">
        <v>30707</v>
      </c>
      <c r="H103" s="15">
        <f t="shared" ref="H103:H134" si="7">DATEDIF(G103,D103,"Y")</f>
        <v>40</v>
      </c>
      <c r="I103" s="5">
        <v>0</v>
      </c>
      <c r="J103" s="5">
        <v>26</v>
      </c>
      <c r="K103" s="5" t="s">
        <v>30</v>
      </c>
      <c r="L103" s="5" t="s">
        <v>78</v>
      </c>
      <c r="M103" s="13" t="s">
        <v>241</v>
      </c>
      <c r="N103" s="5" t="s">
        <v>92</v>
      </c>
      <c r="O103" s="5" t="s">
        <v>236</v>
      </c>
      <c r="P103" s="5">
        <v>2</v>
      </c>
      <c r="Q103" s="5">
        <v>1</v>
      </c>
      <c r="R103" s="5" t="s">
        <v>98</v>
      </c>
      <c r="S103" s="5" t="s">
        <v>80</v>
      </c>
      <c r="T103" s="5" t="s">
        <v>95</v>
      </c>
      <c r="U103" s="5" t="s">
        <v>78</v>
      </c>
      <c r="V103" s="5" t="s">
        <v>94</v>
      </c>
      <c r="W103" s="5" t="s">
        <v>82</v>
      </c>
      <c r="X103" s="6" t="s">
        <v>83</v>
      </c>
      <c r="Y103" s="8" t="s">
        <v>5</v>
      </c>
      <c r="Z103" s="12">
        <v>45610</v>
      </c>
      <c r="AA103" s="5" t="s">
        <v>162</v>
      </c>
      <c r="AB103" s="5" t="s">
        <v>78</v>
      </c>
      <c r="AC103" s="5" t="s">
        <v>207</v>
      </c>
      <c r="AD103" s="15">
        <f t="shared" si="6"/>
        <v>50</v>
      </c>
      <c r="AE103" s="15">
        <v>0</v>
      </c>
      <c r="AF103" s="5"/>
      <c r="AG103" s="5" t="s">
        <v>80</v>
      </c>
      <c r="AH103" s="5" t="s">
        <v>94</v>
      </c>
      <c r="AI103" s="6" t="s">
        <v>82</v>
      </c>
      <c r="AJ103" s="6" t="s">
        <v>83</v>
      </c>
      <c r="AK103" s="5"/>
      <c r="AL103" s="5"/>
      <c r="AM103" s="5"/>
      <c r="AN103" s="5" t="s">
        <v>207</v>
      </c>
      <c r="AO103" s="5" t="s">
        <v>339</v>
      </c>
      <c r="AP103" s="5" t="s">
        <v>39</v>
      </c>
    </row>
    <row r="104" spans="1:42" ht="30" x14ac:dyDescent="0.25">
      <c r="A104" s="1">
        <v>526684</v>
      </c>
      <c r="B104" s="1" t="s">
        <v>3</v>
      </c>
      <c r="C104" s="7" t="s">
        <v>5</v>
      </c>
      <c r="D104" s="14">
        <v>45325</v>
      </c>
      <c r="E104" s="12">
        <v>45572</v>
      </c>
      <c r="F104" s="5" t="s">
        <v>77</v>
      </c>
      <c r="G104" s="14">
        <v>29860</v>
      </c>
      <c r="H104" s="44">
        <f t="shared" si="7"/>
        <v>42</v>
      </c>
      <c r="I104" s="6">
        <v>2</v>
      </c>
      <c r="J104" s="6">
        <v>32</v>
      </c>
      <c r="K104" s="6" t="s">
        <v>166</v>
      </c>
      <c r="L104" s="6" t="s">
        <v>78</v>
      </c>
      <c r="M104" s="5" t="s">
        <v>5</v>
      </c>
      <c r="N104" s="5" t="s">
        <v>154</v>
      </c>
      <c r="O104" s="43">
        <f>37+2/7</f>
        <v>37.285714285714285</v>
      </c>
      <c r="P104" s="5">
        <v>3</v>
      </c>
      <c r="Q104" s="5">
        <v>0</v>
      </c>
      <c r="R104" s="6" t="s">
        <v>98</v>
      </c>
      <c r="S104" s="6" t="s">
        <v>80</v>
      </c>
      <c r="T104" s="6" t="s">
        <v>95</v>
      </c>
      <c r="U104" s="5" t="s">
        <v>78</v>
      </c>
      <c r="V104" s="13" t="s">
        <v>156</v>
      </c>
      <c r="W104" s="27" t="s">
        <v>194</v>
      </c>
      <c r="X104" s="6" t="s">
        <v>83</v>
      </c>
      <c r="Y104" s="8" t="s">
        <v>39</v>
      </c>
      <c r="Z104" s="12">
        <v>45583</v>
      </c>
      <c r="AA104" s="5">
        <f>38+6/7</f>
        <v>38.857142857142854</v>
      </c>
      <c r="AB104" s="5" t="s">
        <v>78</v>
      </c>
      <c r="AC104" s="27" t="s">
        <v>124</v>
      </c>
      <c r="AD104" s="15">
        <f t="shared" si="6"/>
        <v>11</v>
      </c>
      <c r="AE104" s="15">
        <v>0</v>
      </c>
      <c r="AF104" s="5" t="s">
        <v>78</v>
      </c>
      <c r="AG104" s="6" t="s">
        <v>80</v>
      </c>
      <c r="AH104" s="13" t="s">
        <v>173</v>
      </c>
      <c r="AI104" s="6" t="s">
        <v>175</v>
      </c>
      <c r="AJ104" s="6" t="s">
        <v>83</v>
      </c>
      <c r="AK104" s="5"/>
      <c r="AL104" s="5"/>
      <c r="AM104" s="5"/>
      <c r="AN104" s="5" t="s">
        <v>207</v>
      </c>
      <c r="AO104" s="5" t="s">
        <v>270</v>
      </c>
      <c r="AP104" s="5" t="s">
        <v>5</v>
      </c>
    </row>
    <row r="105" spans="1:42" ht="45" x14ac:dyDescent="0.25">
      <c r="A105" s="1">
        <v>526788</v>
      </c>
      <c r="B105" s="1" t="s">
        <v>3</v>
      </c>
      <c r="C105" s="7" t="s">
        <v>101</v>
      </c>
      <c r="D105" s="14">
        <v>45403</v>
      </c>
      <c r="E105" s="12">
        <v>45564</v>
      </c>
      <c r="F105" s="5" t="s">
        <v>77</v>
      </c>
      <c r="G105" s="14">
        <v>30392</v>
      </c>
      <c r="H105" s="44">
        <f t="shared" si="7"/>
        <v>41</v>
      </c>
      <c r="I105" s="6">
        <v>5</v>
      </c>
      <c r="J105" s="6">
        <v>28</v>
      </c>
      <c r="K105" s="6" t="s">
        <v>30</v>
      </c>
      <c r="L105" s="6" t="s">
        <v>78</v>
      </c>
      <c r="M105" s="13" t="s">
        <v>116</v>
      </c>
      <c r="N105" s="13" t="s">
        <v>117</v>
      </c>
      <c r="O105" s="2">
        <f>25+4/7</f>
        <v>25.571428571428573</v>
      </c>
      <c r="P105" s="5">
        <v>7</v>
      </c>
      <c r="Q105" s="5">
        <v>0</v>
      </c>
      <c r="R105" s="6" t="s">
        <v>102</v>
      </c>
      <c r="S105" s="6" t="s">
        <v>80</v>
      </c>
      <c r="T105" s="5" t="s">
        <v>95</v>
      </c>
      <c r="U105" s="5" t="s">
        <v>77</v>
      </c>
      <c r="V105" s="13" t="s">
        <v>119</v>
      </c>
      <c r="W105" s="6" t="s">
        <v>82</v>
      </c>
      <c r="X105" s="6" t="s">
        <v>121</v>
      </c>
      <c r="Y105" s="8" t="s">
        <v>127</v>
      </c>
      <c r="Z105" s="12">
        <v>45647</v>
      </c>
      <c r="AA105" s="5">
        <f>36+6/7</f>
        <v>36.857142857142854</v>
      </c>
      <c r="AB105" s="5" t="s">
        <v>78</v>
      </c>
      <c r="AC105" s="163" t="s">
        <v>124</v>
      </c>
      <c r="AD105" s="15">
        <f t="shared" si="6"/>
        <v>83</v>
      </c>
      <c r="AE105" s="15">
        <v>1</v>
      </c>
      <c r="AF105" s="13" t="s">
        <v>118</v>
      </c>
      <c r="AG105" s="6" t="s">
        <v>80</v>
      </c>
      <c r="AH105" s="13" t="s">
        <v>120</v>
      </c>
      <c r="AI105" s="5" t="s">
        <v>82</v>
      </c>
      <c r="AJ105" s="5" t="s">
        <v>122</v>
      </c>
      <c r="AK105" s="5"/>
      <c r="AL105" s="5"/>
      <c r="AM105" s="5"/>
      <c r="AN105" s="6" t="s">
        <v>207</v>
      </c>
      <c r="AO105" s="5">
        <v>37</v>
      </c>
      <c r="AP105" s="5" t="s">
        <v>4</v>
      </c>
    </row>
    <row r="106" spans="1:42" ht="30" x14ac:dyDescent="0.25">
      <c r="A106" s="1">
        <v>527122</v>
      </c>
      <c r="B106" s="1" t="s">
        <v>3</v>
      </c>
      <c r="C106" s="7" t="s">
        <v>101</v>
      </c>
      <c r="D106" s="14">
        <v>45434</v>
      </c>
      <c r="E106" s="12">
        <v>45573</v>
      </c>
      <c r="F106" s="5" t="s">
        <v>77</v>
      </c>
      <c r="G106" s="14">
        <v>31412</v>
      </c>
      <c r="H106" s="44">
        <f t="shared" si="7"/>
        <v>38</v>
      </c>
      <c r="I106" s="6">
        <v>5</v>
      </c>
      <c r="J106" s="6">
        <v>27</v>
      </c>
      <c r="K106" s="6" t="s">
        <v>166</v>
      </c>
      <c r="L106" s="6" t="s">
        <v>78</v>
      </c>
      <c r="M106" s="5" t="s">
        <v>6</v>
      </c>
      <c r="N106" s="5" t="s">
        <v>5</v>
      </c>
      <c r="O106" s="2">
        <f>21+6/7</f>
        <v>21.857142857142858</v>
      </c>
      <c r="P106" s="5">
        <v>7</v>
      </c>
      <c r="Q106" s="5">
        <v>0</v>
      </c>
      <c r="R106" s="6" t="s">
        <v>98</v>
      </c>
      <c r="S106" s="6" t="s">
        <v>80</v>
      </c>
      <c r="T106" s="6" t="s">
        <v>95</v>
      </c>
      <c r="U106" s="5" t="s">
        <v>77</v>
      </c>
      <c r="V106" s="13" t="s">
        <v>173</v>
      </c>
      <c r="W106" s="6" t="s">
        <v>82</v>
      </c>
      <c r="X106" s="6" t="s">
        <v>193</v>
      </c>
      <c r="Y106" s="8" t="s">
        <v>127</v>
      </c>
      <c r="Z106" s="12">
        <v>45602</v>
      </c>
      <c r="AA106" s="5">
        <v>26</v>
      </c>
      <c r="AB106" s="5" t="s">
        <v>84</v>
      </c>
      <c r="AC106" s="27" t="s">
        <v>174</v>
      </c>
      <c r="AD106" s="15">
        <f t="shared" si="6"/>
        <v>29</v>
      </c>
      <c r="AE106" s="15">
        <v>0</v>
      </c>
      <c r="AF106" s="5"/>
      <c r="AG106" s="6" t="s">
        <v>84</v>
      </c>
      <c r="AH106" s="13" t="s">
        <v>173</v>
      </c>
      <c r="AI106" s="6" t="s">
        <v>82</v>
      </c>
      <c r="AJ106" s="6" t="s">
        <v>175</v>
      </c>
      <c r="AK106" s="5"/>
      <c r="AL106" s="5"/>
      <c r="AM106" s="5"/>
      <c r="AN106" s="5" t="s">
        <v>84</v>
      </c>
      <c r="AO106" s="6" t="s">
        <v>502</v>
      </c>
      <c r="AP106" s="6" t="s">
        <v>260</v>
      </c>
    </row>
    <row r="107" spans="1:42" ht="60" x14ac:dyDescent="0.25">
      <c r="A107" s="37">
        <v>527855</v>
      </c>
      <c r="B107" s="9" t="s">
        <v>7</v>
      </c>
      <c r="C107" s="7" t="s">
        <v>76</v>
      </c>
      <c r="D107" s="12">
        <v>45391</v>
      </c>
      <c r="E107" s="12">
        <v>45590</v>
      </c>
      <c r="F107" s="5" t="s">
        <v>77</v>
      </c>
      <c r="G107" s="12">
        <v>30469</v>
      </c>
      <c r="H107" s="15">
        <f t="shared" si="7"/>
        <v>40</v>
      </c>
      <c r="I107" s="5">
        <v>3</v>
      </c>
      <c r="J107" s="5">
        <v>31</v>
      </c>
      <c r="K107" s="5" t="s">
        <v>30</v>
      </c>
      <c r="L107" s="5" t="s">
        <v>78</v>
      </c>
      <c r="M107" s="5" t="s">
        <v>296</v>
      </c>
      <c r="N107" s="5"/>
      <c r="O107" s="5" t="s">
        <v>243</v>
      </c>
      <c r="P107" s="5">
        <v>3</v>
      </c>
      <c r="Q107" s="5">
        <v>1</v>
      </c>
      <c r="R107" s="5" t="s">
        <v>98</v>
      </c>
      <c r="S107" s="5" t="s">
        <v>80</v>
      </c>
      <c r="T107" s="5" t="s">
        <v>165</v>
      </c>
      <c r="U107" s="5" t="s">
        <v>77</v>
      </c>
      <c r="V107" s="5" t="s">
        <v>94</v>
      </c>
      <c r="W107" s="5" t="s">
        <v>82</v>
      </c>
      <c r="X107" s="5" t="s">
        <v>83</v>
      </c>
      <c r="Y107" s="8" t="s">
        <v>76</v>
      </c>
      <c r="Z107" s="12">
        <v>45605</v>
      </c>
      <c r="AA107" s="5" t="s">
        <v>316</v>
      </c>
      <c r="AB107" s="5" t="s">
        <v>78</v>
      </c>
      <c r="AC107" s="5" t="s">
        <v>330</v>
      </c>
      <c r="AD107" s="15">
        <f t="shared" si="6"/>
        <v>15</v>
      </c>
      <c r="AE107" s="15">
        <v>2</v>
      </c>
      <c r="AF107" s="13" t="s">
        <v>331</v>
      </c>
      <c r="AG107" s="5" t="s">
        <v>80</v>
      </c>
      <c r="AH107" s="5" t="s">
        <v>94</v>
      </c>
      <c r="AI107" s="5" t="s">
        <v>82</v>
      </c>
      <c r="AJ107" s="5" t="s">
        <v>83</v>
      </c>
      <c r="AK107" s="5"/>
      <c r="AL107" s="5"/>
      <c r="AM107" s="5"/>
      <c r="AN107" s="5" t="s">
        <v>333</v>
      </c>
      <c r="AO107" s="5" t="s">
        <v>258</v>
      </c>
      <c r="AP107" s="5" t="s">
        <v>332</v>
      </c>
    </row>
    <row r="108" spans="1:42" x14ac:dyDescent="0.25">
      <c r="A108" s="3">
        <v>528319</v>
      </c>
      <c r="B108" s="9" t="s">
        <v>7</v>
      </c>
      <c r="C108" s="36" t="s">
        <v>4</v>
      </c>
      <c r="D108" s="12">
        <v>45377</v>
      </c>
      <c r="E108" s="12">
        <v>45605</v>
      </c>
      <c r="F108" s="5" t="s">
        <v>77</v>
      </c>
      <c r="G108" s="12">
        <v>32693</v>
      </c>
      <c r="H108" s="15">
        <f t="shared" si="7"/>
        <v>34</v>
      </c>
      <c r="I108" s="5">
        <v>0</v>
      </c>
      <c r="J108" s="5">
        <v>33</v>
      </c>
      <c r="K108" s="5" t="s">
        <v>30</v>
      </c>
      <c r="L108" s="5" t="s">
        <v>78</v>
      </c>
      <c r="M108" s="5"/>
      <c r="N108" s="5" t="s">
        <v>84</v>
      </c>
      <c r="O108" s="5" t="s">
        <v>308</v>
      </c>
      <c r="P108" s="5">
        <v>7</v>
      </c>
      <c r="Q108" s="5">
        <v>1</v>
      </c>
      <c r="R108" s="5" t="s">
        <v>98</v>
      </c>
      <c r="S108" s="5" t="s">
        <v>84</v>
      </c>
      <c r="T108" s="5" t="s">
        <v>165</v>
      </c>
      <c r="U108" s="5" t="s">
        <v>77</v>
      </c>
      <c r="V108" s="5" t="s">
        <v>94</v>
      </c>
      <c r="W108" s="5" t="s">
        <v>82</v>
      </c>
      <c r="X108" s="5" t="s">
        <v>83</v>
      </c>
      <c r="Y108" s="46" t="s">
        <v>76</v>
      </c>
      <c r="Z108" s="12">
        <v>45610</v>
      </c>
      <c r="AA108" s="5" t="s">
        <v>309</v>
      </c>
      <c r="AB108" s="5" t="s">
        <v>78</v>
      </c>
      <c r="AC108" s="5" t="s">
        <v>310</v>
      </c>
      <c r="AD108" s="15">
        <f t="shared" si="6"/>
        <v>5</v>
      </c>
      <c r="AE108" s="15">
        <v>0</v>
      </c>
      <c r="AF108" s="5"/>
      <c r="AG108" s="5" t="s">
        <v>84</v>
      </c>
      <c r="AH108" s="5" t="s">
        <v>94</v>
      </c>
      <c r="AI108" s="5" t="s">
        <v>82</v>
      </c>
      <c r="AJ108" s="5" t="s">
        <v>83</v>
      </c>
      <c r="AK108" s="5"/>
      <c r="AL108" s="5"/>
      <c r="AM108" s="5"/>
      <c r="AN108" s="5" t="s">
        <v>207</v>
      </c>
      <c r="AO108" s="5" t="s">
        <v>311</v>
      </c>
      <c r="AP108" s="5" t="s">
        <v>84</v>
      </c>
    </row>
    <row r="109" spans="1:42" ht="30" x14ac:dyDescent="0.25">
      <c r="A109" s="1">
        <v>528617</v>
      </c>
      <c r="B109" s="1" t="s">
        <v>3</v>
      </c>
      <c r="C109" s="7" t="s">
        <v>4</v>
      </c>
      <c r="D109" s="12">
        <v>45426</v>
      </c>
      <c r="E109" s="12">
        <v>45604</v>
      </c>
      <c r="F109" s="5" t="s">
        <v>77</v>
      </c>
      <c r="G109" s="14">
        <v>34639</v>
      </c>
      <c r="H109" s="44">
        <f t="shared" si="7"/>
        <v>29</v>
      </c>
      <c r="I109" s="6">
        <v>1</v>
      </c>
      <c r="J109" s="6">
        <v>30</v>
      </c>
      <c r="K109" s="6" t="s">
        <v>30</v>
      </c>
      <c r="L109" s="6" t="s">
        <v>78</v>
      </c>
      <c r="M109" s="13" t="s">
        <v>139</v>
      </c>
      <c r="N109" s="5" t="s">
        <v>78</v>
      </c>
      <c r="O109" s="2">
        <f>27+3/7</f>
        <v>27.428571428571427</v>
      </c>
      <c r="P109" s="5">
        <v>7</v>
      </c>
      <c r="Q109" s="5">
        <v>0</v>
      </c>
      <c r="R109" s="6" t="s">
        <v>102</v>
      </c>
      <c r="S109" s="6" t="s">
        <v>80</v>
      </c>
      <c r="T109" s="6" t="s">
        <v>95</v>
      </c>
      <c r="U109" s="5" t="s">
        <v>77</v>
      </c>
      <c r="V109" s="13" t="s">
        <v>141</v>
      </c>
      <c r="W109" s="6" t="s">
        <v>82</v>
      </c>
      <c r="X109" s="6" t="s">
        <v>187</v>
      </c>
      <c r="Y109" s="8" t="s">
        <v>127</v>
      </c>
      <c r="Z109" s="12">
        <v>45604</v>
      </c>
      <c r="AA109" s="5">
        <f>27+3/7</f>
        <v>27.428571428571427</v>
      </c>
      <c r="AB109" s="5" t="s">
        <v>78</v>
      </c>
      <c r="AC109" s="27" t="s">
        <v>142</v>
      </c>
      <c r="AD109" s="15">
        <f t="shared" si="6"/>
        <v>0</v>
      </c>
      <c r="AE109" s="15">
        <v>1</v>
      </c>
      <c r="AF109" s="5"/>
      <c r="AG109" s="6" t="s">
        <v>80</v>
      </c>
      <c r="AH109" s="5"/>
      <c r="AI109" s="5"/>
      <c r="AJ109" s="5"/>
      <c r="AK109" s="5"/>
      <c r="AL109" s="5"/>
      <c r="AM109" s="5"/>
      <c r="AN109" s="6" t="s">
        <v>343</v>
      </c>
      <c r="AO109" s="6" t="s">
        <v>392</v>
      </c>
      <c r="AP109" s="6" t="s">
        <v>498</v>
      </c>
    </row>
    <row r="110" spans="1:42" ht="45" x14ac:dyDescent="0.25">
      <c r="A110" s="3">
        <v>529607</v>
      </c>
      <c r="B110" s="9" t="s">
        <v>7</v>
      </c>
      <c r="C110" s="36" t="s">
        <v>461</v>
      </c>
      <c r="D110" s="12">
        <v>45408</v>
      </c>
      <c r="E110" s="12">
        <v>45630</v>
      </c>
      <c r="F110" s="5" t="s">
        <v>77</v>
      </c>
      <c r="G110" s="12">
        <v>34049</v>
      </c>
      <c r="H110" s="15">
        <f t="shared" si="7"/>
        <v>31</v>
      </c>
      <c r="I110" s="5">
        <v>1</v>
      </c>
      <c r="J110" s="5" t="s">
        <v>208</v>
      </c>
      <c r="K110" s="5" t="s">
        <v>30</v>
      </c>
      <c r="L110" s="5" t="s">
        <v>78</v>
      </c>
      <c r="M110" s="13" t="s">
        <v>209</v>
      </c>
      <c r="N110" s="5" t="s">
        <v>92</v>
      </c>
      <c r="O110" s="5" t="s">
        <v>177</v>
      </c>
      <c r="P110" s="5">
        <v>2</v>
      </c>
      <c r="Q110" s="5"/>
      <c r="R110" s="5" t="s">
        <v>100</v>
      </c>
      <c r="S110" s="5" t="s">
        <v>80</v>
      </c>
      <c r="T110" s="6" t="s">
        <v>95</v>
      </c>
      <c r="U110" s="5" t="s">
        <v>78</v>
      </c>
      <c r="V110" s="5" t="s">
        <v>210</v>
      </c>
      <c r="W110" s="6" t="s">
        <v>82</v>
      </c>
      <c r="X110" s="6" t="s">
        <v>212</v>
      </c>
      <c r="Y110" s="8" t="s">
        <v>5</v>
      </c>
      <c r="Z110" s="12">
        <v>45646</v>
      </c>
      <c r="AA110" s="5">
        <v>36</v>
      </c>
      <c r="AB110" s="5" t="s">
        <v>78</v>
      </c>
      <c r="AC110" s="5" t="s">
        <v>211</v>
      </c>
      <c r="AD110" s="15">
        <f t="shared" si="6"/>
        <v>16</v>
      </c>
      <c r="AE110" s="15">
        <v>0</v>
      </c>
      <c r="AF110" s="5" t="s">
        <v>78</v>
      </c>
      <c r="AG110" s="5" t="s">
        <v>80</v>
      </c>
      <c r="AH110" s="5" t="s">
        <v>210</v>
      </c>
      <c r="AI110" s="6" t="s">
        <v>82</v>
      </c>
      <c r="AJ110" s="5" t="s">
        <v>213</v>
      </c>
      <c r="AK110" s="5"/>
      <c r="AL110" s="5"/>
      <c r="AM110" s="5"/>
      <c r="AN110" s="5" t="s">
        <v>329</v>
      </c>
      <c r="AO110" s="6" t="s">
        <v>340</v>
      </c>
      <c r="AP110" s="6" t="s">
        <v>4</v>
      </c>
    </row>
    <row r="111" spans="1:42" ht="30" x14ac:dyDescent="0.25">
      <c r="A111" s="1">
        <v>529934</v>
      </c>
      <c r="B111" s="1" t="s">
        <v>3</v>
      </c>
      <c r="C111" s="7" t="s">
        <v>4</v>
      </c>
      <c r="D111" s="12">
        <v>45409</v>
      </c>
      <c r="E111" s="12">
        <v>45631</v>
      </c>
      <c r="F111" s="5" t="s">
        <v>77</v>
      </c>
      <c r="G111" s="14">
        <v>31591</v>
      </c>
      <c r="H111" s="44">
        <f t="shared" si="7"/>
        <v>37</v>
      </c>
      <c r="I111" s="6">
        <v>4</v>
      </c>
      <c r="J111" s="6">
        <v>26</v>
      </c>
      <c r="K111" s="6" t="s">
        <v>166</v>
      </c>
      <c r="L111" s="6" t="s">
        <v>176</v>
      </c>
      <c r="M111" s="13" t="s">
        <v>113</v>
      </c>
      <c r="N111" s="5" t="s">
        <v>92</v>
      </c>
      <c r="O111" s="8">
        <f>33+5/7</f>
        <v>33.714285714285715</v>
      </c>
      <c r="P111" s="5">
        <v>7</v>
      </c>
      <c r="Q111" s="5">
        <v>0</v>
      </c>
      <c r="R111" s="6" t="s">
        <v>102</v>
      </c>
      <c r="S111" s="6" t="s">
        <v>178</v>
      </c>
      <c r="T111" s="6" t="s">
        <v>95</v>
      </c>
      <c r="U111" s="5" t="s">
        <v>77</v>
      </c>
      <c r="V111" s="13" t="s">
        <v>128</v>
      </c>
      <c r="W111" s="6" t="s">
        <v>82</v>
      </c>
      <c r="X111" s="6" t="s">
        <v>195</v>
      </c>
      <c r="Y111" s="8" t="s">
        <v>179</v>
      </c>
      <c r="Z111" s="12">
        <v>45641</v>
      </c>
      <c r="AA111" s="5">
        <f>35+1/7</f>
        <v>35.142857142857146</v>
      </c>
      <c r="AB111" s="5" t="s">
        <v>78</v>
      </c>
      <c r="AC111" s="6" t="s">
        <v>180</v>
      </c>
      <c r="AD111" s="15">
        <f t="shared" si="6"/>
        <v>10</v>
      </c>
      <c r="AE111" s="15">
        <v>0</v>
      </c>
      <c r="AF111" s="5" t="s">
        <v>78</v>
      </c>
      <c r="AG111" s="6" t="s">
        <v>80</v>
      </c>
      <c r="AH111" s="5" t="s">
        <v>94</v>
      </c>
      <c r="AI111" s="6" t="s">
        <v>82</v>
      </c>
      <c r="AJ111" s="6" t="s">
        <v>175</v>
      </c>
      <c r="AK111" s="5"/>
      <c r="AL111" s="5"/>
      <c r="AM111" s="5"/>
      <c r="AN111" s="5" t="s">
        <v>134</v>
      </c>
      <c r="AO111" s="5" t="s">
        <v>344</v>
      </c>
      <c r="AP111" s="5"/>
    </row>
    <row r="112" spans="1:42" ht="60" x14ac:dyDescent="0.25">
      <c r="A112" s="3">
        <v>530666</v>
      </c>
      <c r="B112" s="9" t="s">
        <v>7</v>
      </c>
      <c r="C112" s="7" t="s">
        <v>4</v>
      </c>
      <c r="D112" s="12">
        <v>45408</v>
      </c>
      <c r="E112" s="12">
        <v>45646</v>
      </c>
      <c r="F112" s="5" t="s">
        <v>77</v>
      </c>
      <c r="G112" s="12">
        <v>34857</v>
      </c>
      <c r="H112" s="15">
        <f t="shared" si="7"/>
        <v>28</v>
      </c>
      <c r="I112" s="5">
        <v>0</v>
      </c>
      <c r="J112" s="5">
        <v>40</v>
      </c>
      <c r="K112" s="5" t="s">
        <v>30</v>
      </c>
      <c r="L112" s="5" t="s">
        <v>78</v>
      </c>
      <c r="M112" s="5" t="s">
        <v>39</v>
      </c>
      <c r="N112" s="5"/>
      <c r="O112" s="5">
        <v>36</v>
      </c>
      <c r="P112" s="5">
        <v>2</v>
      </c>
      <c r="Q112" s="5">
        <v>1</v>
      </c>
      <c r="R112" s="5" t="s">
        <v>98</v>
      </c>
      <c r="S112" s="5" t="s">
        <v>80</v>
      </c>
      <c r="T112" s="5" t="s">
        <v>95</v>
      </c>
      <c r="U112" s="5" t="s">
        <v>78</v>
      </c>
      <c r="V112" s="13" t="s">
        <v>321</v>
      </c>
      <c r="W112" s="5" t="s">
        <v>82</v>
      </c>
      <c r="X112" s="5" t="s">
        <v>323</v>
      </c>
      <c r="Y112" s="8" t="s">
        <v>179</v>
      </c>
      <c r="Z112" s="12">
        <v>45652</v>
      </c>
      <c r="AA112" s="5" t="s">
        <v>104</v>
      </c>
      <c r="AB112" s="5" t="s">
        <v>78</v>
      </c>
      <c r="AC112" s="5" t="s">
        <v>207</v>
      </c>
      <c r="AD112" s="15">
        <f t="shared" si="6"/>
        <v>6</v>
      </c>
      <c r="AE112" s="15">
        <v>1</v>
      </c>
      <c r="AF112" s="13" t="s">
        <v>322</v>
      </c>
      <c r="AG112" s="5" t="s">
        <v>80</v>
      </c>
      <c r="AH112" s="13" t="s">
        <v>321</v>
      </c>
      <c r="AI112" s="5" t="s">
        <v>324</v>
      </c>
      <c r="AJ112" s="5" t="s">
        <v>324</v>
      </c>
      <c r="AK112" s="5"/>
      <c r="AL112" s="5"/>
      <c r="AM112" s="5"/>
      <c r="AN112" s="5" t="s">
        <v>207</v>
      </c>
      <c r="AO112" s="47">
        <v>37</v>
      </c>
      <c r="AP112" s="5" t="s">
        <v>4</v>
      </c>
    </row>
    <row r="113" spans="1:42" ht="30" x14ac:dyDescent="0.25">
      <c r="A113" s="34" t="s">
        <v>24</v>
      </c>
      <c r="B113" s="10" t="s">
        <v>23</v>
      </c>
      <c r="C113" s="5" t="s">
        <v>39</v>
      </c>
      <c r="D113" s="12">
        <v>45037</v>
      </c>
      <c r="E113" s="12">
        <v>45237</v>
      </c>
      <c r="F113" s="5" t="s">
        <v>77</v>
      </c>
      <c r="G113" s="12">
        <v>36525</v>
      </c>
      <c r="H113" s="15">
        <f t="shared" si="7"/>
        <v>23</v>
      </c>
      <c r="I113" s="5">
        <v>2</v>
      </c>
      <c r="J113" s="5">
        <v>35</v>
      </c>
      <c r="K113" s="5" t="s">
        <v>30</v>
      </c>
      <c r="L113" s="5" t="s">
        <v>78</v>
      </c>
      <c r="M113" s="5" t="s">
        <v>182</v>
      </c>
      <c r="N113" s="5"/>
      <c r="O113" s="5" t="s">
        <v>381</v>
      </c>
      <c r="P113" s="5">
        <v>2</v>
      </c>
      <c r="Q113" s="5">
        <v>0</v>
      </c>
      <c r="R113" s="5">
        <v>1</v>
      </c>
      <c r="S113" s="5" t="s">
        <v>80</v>
      </c>
      <c r="T113" s="5" t="s">
        <v>95</v>
      </c>
      <c r="U113" s="5" t="s">
        <v>78</v>
      </c>
      <c r="V113" s="5" t="s">
        <v>334</v>
      </c>
      <c r="W113" s="5" t="s">
        <v>82</v>
      </c>
      <c r="X113" s="5" t="s">
        <v>373</v>
      </c>
      <c r="Y113" s="8" t="s">
        <v>39</v>
      </c>
      <c r="Z113" s="12">
        <v>45305</v>
      </c>
      <c r="AA113" s="5" t="s">
        <v>335</v>
      </c>
      <c r="AB113" s="5" t="s">
        <v>78</v>
      </c>
      <c r="AC113" s="5" t="s">
        <v>207</v>
      </c>
      <c r="AD113" s="15">
        <f t="shared" si="6"/>
        <v>68</v>
      </c>
      <c r="AE113" s="5">
        <v>1</v>
      </c>
      <c r="AF113" s="27" t="s">
        <v>415</v>
      </c>
      <c r="AG113" s="5" t="s">
        <v>80</v>
      </c>
      <c r="AH113" s="5" t="s">
        <v>334</v>
      </c>
      <c r="AI113" s="5" t="s">
        <v>82</v>
      </c>
      <c r="AJ113" s="5" t="s">
        <v>373</v>
      </c>
      <c r="AK113" s="5"/>
      <c r="AL113" s="5"/>
      <c r="AM113" s="5"/>
      <c r="AN113" s="5" t="s">
        <v>367</v>
      </c>
      <c r="AO113" s="5" t="s">
        <v>270</v>
      </c>
      <c r="AP113" s="5" t="s">
        <v>343</v>
      </c>
    </row>
    <row r="114" spans="1:42" ht="25.5" x14ac:dyDescent="0.25">
      <c r="A114" s="33" t="s">
        <v>9</v>
      </c>
      <c r="B114" s="4" t="s">
        <v>8</v>
      </c>
      <c r="C114" s="5" t="s">
        <v>76</v>
      </c>
      <c r="D114" s="12">
        <v>45052</v>
      </c>
      <c r="E114" s="12">
        <v>45258</v>
      </c>
      <c r="F114" s="5" t="s">
        <v>77</v>
      </c>
      <c r="G114" s="12">
        <v>31336</v>
      </c>
      <c r="H114" s="15">
        <f t="shared" si="7"/>
        <v>37</v>
      </c>
      <c r="I114" s="5">
        <v>0</v>
      </c>
      <c r="J114" s="5">
        <v>22</v>
      </c>
      <c r="K114" s="5" t="s">
        <v>30</v>
      </c>
      <c r="L114" s="5" t="s">
        <v>78</v>
      </c>
      <c r="M114" s="5"/>
      <c r="N114" s="5"/>
      <c r="O114" s="5" t="s">
        <v>242</v>
      </c>
      <c r="P114" s="5">
        <v>2</v>
      </c>
      <c r="Q114" s="5">
        <v>0</v>
      </c>
      <c r="R114" s="5">
        <v>1</v>
      </c>
      <c r="S114" s="5" t="s">
        <v>80</v>
      </c>
      <c r="T114" s="5" t="s">
        <v>165</v>
      </c>
      <c r="U114" s="5" t="s">
        <v>78</v>
      </c>
      <c r="V114" s="5" t="s">
        <v>383</v>
      </c>
      <c r="W114" s="5" t="s">
        <v>82</v>
      </c>
      <c r="X114" s="5" t="s">
        <v>351</v>
      </c>
      <c r="Y114" s="8" t="s">
        <v>76</v>
      </c>
      <c r="Z114" s="12">
        <v>45318</v>
      </c>
      <c r="AA114" s="5" t="s">
        <v>221</v>
      </c>
      <c r="AB114" s="5" t="s">
        <v>385</v>
      </c>
      <c r="AC114" s="5" t="s">
        <v>134</v>
      </c>
      <c r="AD114" s="15">
        <f t="shared" si="6"/>
        <v>60</v>
      </c>
      <c r="AE114" s="5">
        <v>0</v>
      </c>
      <c r="AF114" s="5"/>
      <c r="AG114" s="5" t="s">
        <v>80</v>
      </c>
      <c r="AH114" s="5" t="s">
        <v>383</v>
      </c>
      <c r="AI114" s="5" t="s">
        <v>82</v>
      </c>
      <c r="AJ114" s="5" t="s">
        <v>351</v>
      </c>
      <c r="AK114" s="5"/>
      <c r="AL114" s="5"/>
      <c r="AM114" s="5"/>
      <c r="AN114" s="5" t="s">
        <v>134</v>
      </c>
      <c r="AO114" s="5" t="s">
        <v>384</v>
      </c>
      <c r="AP114" s="5"/>
    </row>
    <row r="115" spans="1:42" x14ac:dyDescent="0.25">
      <c r="H115" s="41"/>
      <c r="I115" s="41">
        <f>AVERAGE(I2:I114)</f>
        <v>1.8053097345132743</v>
      </c>
    </row>
    <row r="116" spans="1:42" x14ac:dyDescent="0.25">
      <c r="H116" s="41">
        <f>AVERAGE(H2:H115)</f>
        <v>35.353982300884958</v>
      </c>
      <c r="J116" s="41">
        <f>AVERAGE(J2:J114)</f>
        <v>32.299999999999997</v>
      </c>
    </row>
  </sheetData>
  <autoFilter ref="A1:AP1" xr:uid="{58BA9F6B-C2DB-4FB5-B3F0-160C9081C070}">
    <sortState ref="A2:AP116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07AE-CEAB-4313-9658-C8C01B0D3483}">
  <dimension ref="A1:AN113"/>
  <sheetViews>
    <sheetView workbookViewId="0">
      <pane ySplit="1" topLeftCell="A71" activePane="bottomLeft" state="frozen"/>
      <selection pane="bottomLeft" activeCell="U90" sqref="U90:U91"/>
    </sheetView>
  </sheetViews>
  <sheetFormatPr baseColWidth="10" defaultRowHeight="15" x14ac:dyDescent="0.25"/>
  <cols>
    <col min="4" max="12" width="0" hidden="1" customWidth="1"/>
    <col min="27" max="27" width="0" hidden="1" customWidth="1"/>
  </cols>
  <sheetData>
    <row r="1" spans="1:40" ht="90" x14ac:dyDescent="0.25">
      <c r="A1" s="28" t="s">
        <v>0</v>
      </c>
      <c r="B1" s="18" t="s">
        <v>1</v>
      </c>
      <c r="C1" s="18" t="s">
        <v>36</v>
      </c>
      <c r="D1" s="18" t="s">
        <v>40</v>
      </c>
      <c r="E1" s="18" t="s">
        <v>2</v>
      </c>
      <c r="F1" s="18" t="s">
        <v>37</v>
      </c>
      <c r="G1" s="19" t="s">
        <v>29</v>
      </c>
      <c r="H1" s="19" t="s">
        <v>126</v>
      </c>
      <c r="I1" s="19" t="s">
        <v>11</v>
      </c>
      <c r="J1" s="19" t="s">
        <v>12</v>
      </c>
      <c r="K1" s="19" t="s">
        <v>13</v>
      </c>
      <c r="L1" s="19" t="s">
        <v>35</v>
      </c>
      <c r="M1" s="19" t="s">
        <v>534</v>
      </c>
      <c r="N1" s="19" t="s">
        <v>535</v>
      </c>
      <c r="O1" s="19" t="s">
        <v>15</v>
      </c>
      <c r="P1" s="20" t="s">
        <v>38</v>
      </c>
      <c r="Q1" s="20" t="s">
        <v>16</v>
      </c>
      <c r="R1" s="20" t="s">
        <v>17</v>
      </c>
      <c r="S1" s="20" t="s">
        <v>18</v>
      </c>
      <c r="T1" s="21" t="s">
        <v>25</v>
      </c>
      <c r="U1" s="22" t="s">
        <v>33</v>
      </c>
      <c r="V1" s="22" t="s">
        <v>75</v>
      </c>
      <c r="W1" s="21" t="s">
        <v>26</v>
      </c>
      <c r="X1" s="21" t="s">
        <v>27</v>
      </c>
      <c r="Y1" s="21" t="s">
        <v>28</v>
      </c>
      <c r="Z1" s="21" t="s">
        <v>34</v>
      </c>
      <c r="AA1" s="23" t="s">
        <v>32</v>
      </c>
      <c r="AB1" s="23" t="s">
        <v>19</v>
      </c>
      <c r="AC1" s="23" t="s">
        <v>20</v>
      </c>
      <c r="AD1" s="23" t="s">
        <v>21</v>
      </c>
      <c r="AE1" s="23" t="s">
        <v>22</v>
      </c>
      <c r="AF1" s="38" t="s">
        <v>255</v>
      </c>
      <c r="AG1" s="38" t="s">
        <v>256</v>
      </c>
      <c r="AH1" s="23" t="s">
        <v>41</v>
      </c>
      <c r="AI1" s="23" t="s">
        <v>26</v>
      </c>
      <c r="AJ1" s="23" t="s">
        <v>31</v>
      </c>
      <c r="AK1" s="23" t="s">
        <v>91</v>
      </c>
      <c r="AL1" s="39" t="s">
        <v>254</v>
      </c>
      <c r="AM1" s="39" t="s">
        <v>265</v>
      </c>
      <c r="AN1" s="79" t="s">
        <v>549</v>
      </c>
    </row>
    <row r="2" spans="1:40" ht="45" x14ac:dyDescent="0.25">
      <c r="A2" s="57">
        <v>155478</v>
      </c>
      <c r="B2" s="58" t="s">
        <v>23</v>
      </c>
      <c r="C2" s="8" t="s">
        <v>39</v>
      </c>
      <c r="D2" s="84">
        <v>45239</v>
      </c>
      <c r="E2" s="84">
        <v>45421</v>
      </c>
      <c r="F2" s="8" t="s">
        <v>77</v>
      </c>
      <c r="G2" s="84">
        <v>30729</v>
      </c>
      <c r="H2" s="21">
        <f>DATEDIF(G2,D2,"Y")</f>
        <v>39</v>
      </c>
      <c r="I2" s="8">
        <v>2</v>
      </c>
      <c r="J2" s="8">
        <v>38</v>
      </c>
      <c r="K2" s="8" t="s">
        <v>30</v>
      </c>
      <c r="L2" s="8" t="s">
        <v>78</v>
      </c>
      <c r="M2" s="46" t="s">
        <v>220</v>
      </c>
      <c r="N2" s="46"/>
      <c r="O2" s="8"/>
      <c r="P2" s="81">
        <v>28</v>
      </c>
      <c r="Q2" s="8">
        <v>3</v>
      </c>
      <c r="R2" s="8">
        <v>0</v>
      </c>
      <c r="S2" s="8">
        <v>1</v>
      </c>
      <c r="T2" s="5" t="s">
        <v>80</v>
      </c>
      <c r="U2" s="5" t="s">
        <v>95</v>
      </c>
      <c r="V2" s="5" t="s">
        <v>78</v>
      </c>
      <c r="W2" s="13" t="s">
        <v>560</v>
      </c>
      <c r="X2" s="13" t="s">
        <v>561</v>
      </c>
      <c r="Y2" s="5">
        <v>0.7</v>
      </c>
      <c r="Z2" s="8" t="s">
        <v>233</v>
      </c>
      <c r="AA2" s="12">
        <v>45428</v>
      </c>
      <c r="AB2" s="80">
        <v>29</v>
      </c>
      <c r="AC2" s="5" t="s">
        <v>472</v>
      </c>
      <c r="AD2" s="5" t="s">
        <v>571</v>
      </c>
      <c r="AE2" s="15">
        <f t="shared" ref="AE2:AE33" si="0">DATEDIF(E2,AA2,"D")</f>
        <v>7</v>
      </c>
      <c r="AF2" s="5">
        <v>1</v>
      </c>
      <c r="AG2" s="5" t="s">
        <v>4</v>
      </c>
      <c r="AH2" s="5" t="s">
        <v>80</v>
      </c>
      <c r="AI2" s="13" t="s">
        <v>468</v>
      </c>
      <c r="AJ2" s="5" t="s">
        <v>471</v>
      </c>
      <c r="AK2" s="5" t="s">
        <v>373</v>
      </c>
      <c r="AL2" s="5" t="s">
        <v>4</v>
      </c>
      <c r="AM2" s="80">
        <v>30</v>
      </c>
      <c r="AN2" s="5" t="s">
        <v>4</v>
      </c>
    </row>
    <row r="3" spans="1:40" ht="60" x14ac:dyDescent="0.25">
      <c r="A3" s="57">
        <v>227712</v>
      </c>
      <c r="B3" s="58" t="s">
        <v>23</v>
      </c>
      <c r="C3" s="8" t="s">
        <v>39</v>
      </c>
      <c r="D3" s="84">
        <v>45085</v>
      </c>
      <c r="E3" s="84">
        <v>45267</v>
      </c>
      <c r="F3" s="8" t="s">
        <v>77</v>
      </c>
      <c r="G3" s="84">
        <v>32981</v>
      </c>
      <c r="H3" s="21">
        <f>DATEDIF(G3,D3,"Y")</f>
        <v>33</v>
      </c>
      <c r="I3" s="8">
        <v>0</v>
      </c>
      <c r="J3" s="8">
        <v>34</v>
      </c>
      <c r="K3" s="8" t="s">
        <v>30</v>
      </c>
      <c r="L3" s="8" t="s">
        <v>78</v>
      </c>
      <c r="M3" s="8"/>
      <c r="N3" s="8"/>
      <c r="O3" s="8"/>
      <c r="P3" s="81">
        <f>28+1/7</f>
        <v>28.142857142857142</v>
      </c>
      <c r="Q3" s="8">
        <v>2</v>
      </c>
      <c r="R3" s="8">
        <v>0</v>
      </c>
      <c r="S3" s="8">
        <v>1</v>
      </c>
      <c r="T3" s="5" t="s">
        <v>80</v>
      </c>
      <c r="U3" s="5" t="s">
        <v>165</v>
      </c>
      <c r="V3" s="5" t="s">
        <v>77</v>
      </c>
      <c r="W3" s="5" t="s">
        <v>559</v>
      </c>
      <c r="X3" s="5" t="s">
        <v>82</v>
      </c>
      <c r="Y3" s="5" t="s">
        <v>373</v>
      </c>
      <c r="Z3" s="8" t="s">
        <v>76</v>
      </c>
      <c r="AA3" s="12">
        <v>45310</v>
      </c>
      <c r="AB3" s="80">
        <f>34+1/7</f>
        <v>34.142857142857146</v>
      </c>
      <c r="AC3" s="5" t="s">
        <v>4</v>
      </c>
      <c r="AD3" s="5" t="s">
        <v>573</v>
      </c>
      <c r="AE3" s="15">
        <f t="shared" si="0"/>
        <v>43</v>
      </c>
      <c r="AF3" s="5">
        <v>2</v>
      </c>
      <c r="AG3" s="13" t="s">
        <v>572</v>
      </c>
      <c r="AH3" s="5" t="s">
        <v>84</v>
      </c>
      <c r="AI3" s="5" t="s">
        <v>210</v>
      </c>
      <c r="AJ3" s="5" t="s">
        <v>82</v>
      </c>
      <c r="AK3" s="13" t="s">
        <v>423</v>
      </c>
      <c r="AL3" s="5" t="s">
        <v>4</v>
      </c>
      <c r="AM3" s="80">
        <f>35+2/7</f>
        <v>35.285714285714285</v>
      </c>
      <c r="AN3" s="5" t="s">
        <v>260</v>
      </c>
    </row>
    <row r="4" spans="1:40" x14ac:dyDescent="0.25">
      <c r="A4" s="57">
        <v>248481</v>
      </c>
      <c r="B4" s="58" t="s">
        <v>23</v>
      </c>
      <c r="C4" s="86" t="s">
        <v>76</v>
      </c>
      <c r="D4" s="87">
        <v>45563</v>
      </c>
      <c r="E4" s="87">
        <v>45378</v>
      </c>
      <c r="F4" s="86" t="s">
        <v>77</v>
      </c>
      <c r="G4" s="87">
        <v>31114</v>
      </c>
      <c r="H4" s="88">
        <f>DATEDIF(G4,D4,"Y")</f>
        <v>39</v>
      </c>
      <c r="I4" s="86">
        <v>1</v>
      </c>
      <c r="J4" s="86">
        <v>33</v>
      </c>
      <c r="K4" s="86" t="s">
        <v>30</v>
      </c>
      <c r="L4" s="86" t="s">
        <v>78</v>
      </c>
      <c r="M4" s="90" t="s">
        <v>76</v>
      </c>
      <c r="N4" s="86"/>
      <c r="O4" s="86"/>
      <c r="P4" s="89">
        <f>27+6/7</f>
        <v>27.857142857142858</v>
      </c>
      <c r="Q4" s="86">
        <v>3</v>
      </c>
      <c r="R4" s="86">
        <v>0</v>
      </c>
      <c r="S4" s="86">
        <v>1</v>
      </c>
      <c r="T4" s="5" t="s">
        <v>80</v>
      </c>
      <c r="U4" s="5" t="s">
        <v>95</v>
      </c>
      <c r="V4" s="5" t="s">
        <v>78</v>
      </c>
      <c r="W4" s="5" t="s">
        <v>559</v>
      </c>
      <c r="X4" s="5" t="s">
        <v>82</v>
      </c>
      <c r="Y4" s="5" t="s">
        <v>373</v>
      </c>
      <c r="Z4" s="8" t="s">
        <v>39</v>
      </c>
      <c r="AA4" s="12">
        <v>45429</v>
      </c>
      <c r="AB4" s="80">
        <f>35+1/7</f>
        <v>35.142857142857146</v>
      </c>
      <c r="AC4" s="5" t="s">
        <v>4</v>
      </c>
      <c r="AD4" s="27" t="s">
        <v>571</v>
      </c>
      <c r="AE4" s="15">
        <f t="shared" si="0"/>
        <v>51</v>
      </c>
      <c r="AF4" s="5">
        <v>1</v>
      </c>
      <c r="AG4" s="5" t="s">
        <v>4</v>
      </c>
      <c r="AH4" s="5" t="s">
        <v>80</v>
      </c>
      <c r="AI4" s="5" t="s">
        <v>94</v>
      </c>
      <c r="AJ4" s="5" t="s">
        <v>82</v>
      </c>
      <c r="AK4" s="5" t="s">
        <v>373</v>
      </c>
      <c r="AL4" s="6" t="s">
        <v>4</v>
      </c>
      <c r="AM4" s="83">
        <f>35+2/7</f>
        <v>35.285714285714285</v>
      </c>
      <c r="AN4" s="6" t="s">
        <v>4</v>
      </c>
    </row>
    <row r="5" spans="1:40" ht="30" x14ac:dyDescent="0.25">
      <c r="A5" s="59">
        <v>257038</v>
      </c>
      <c r="B5" s="59" t="s">
        <v>3</v>
      </c>
      <c r="C5" s="8" t="s">
        <v>5</v>
      </c>
      <c r="D5" s="84">
        <v>45392</v>
      </c>
      <c r="E5" s="84">
        <v>45558</v>
      </c>
      <c r="F5" s="8" t="s">
        <v>77</v>
      </c>
      <c r="G5" s="84">
        <v>30963</v>
      </c>
      <c r="H5" s="21">
        <f>DATEDIF(G5,D5,"Y")</f>
        <v>39</v>
      </c>
      <c r="I5" s="8">
        <v>2</v>
      </c>
      <c r="J5" s="8">
        <v>24</v>
      </c>
      <c r="K5" s="8" t="s">
        <v>135</v>
      </c>
      <c r="L5" s="8" t="s">
        <v>78</v>
      </c>
      <c r="M5" s="8" t="s">
        <v>6</v>
      </c>
      <c r="N5" s="8" t="s">
        <v>181</v>
      </c>
      <c r="O5" s="8"/>
      <c r="P5" s="81">
        <f>25+5/7</f>
        <v>25.714285714285715</v>
      </c>
      <c r="Q5" s="8">
        <v>7</v>
      </c>
      <c r="R5" s="8">
        <v>0</v>
      </c>
      <c r="S5" s="8" t="s">
        <v>102</v>
      </c>
      <c r="T5" s="6" t="s">
        <v>80</v>
      </c>
      <c r="U5" s="6" t="s">
        <v>95</v>
      </c>
      <c r="V5" s="9" t="s">
        <v>77</v>
      </c>
      <c r="W5" s="5" t="s">
        <v>559</v>
      </c>
      <c r="X5" s="9" t="s">
        <v>82</v>
      </c>
      <c r="Y5" s="6" t="s">
        <v>191</v>
      </c>
      <c r="Z5" s="8" t="s">
        <v>179</v>
      </c>
      <c r="AA5" s="12">
        <v>45643</v>
      </c>
      <c r="AB5" s="82">
        <f>37+6/7</f>
        <v>37.857142857142854</v>
      </c>
      <c r="AC5" s="9"/>
      <c r="AD5" s="5" t="s">
        <v>207</v>
      </c>
      <c r="AE5" s="15">
        <f t="shared" si="0"/>
        <v>85</v>
      </c>
      <c r="AF5" s="15">
        <v>2</v>
      </c>
      <c r="AG5" s="25" t="s">
        <v>196</v>
      </c>
      <c r="AH5" s="6" t="s">
        <v>80</v>
      </c>
      <c r="AI5" s="5" t="s">
        <v>94</v>
      </c>
      <c r="AJ5" s="6" t="s">
        <v>197</v>
      </c>
      <c r="AK5" s="6" t="s">
        <v>83</v>
      </c>
      <c r="AL5" s="5" t="s">
        <v>207</v>
      </c>
      <c r="AM5" s="80">
        <f>38</f>
        <v>38</v>
      </c>
      <c r="AN5" s="5" t="s">
        <v>4</v>
      </c>
    </row>
    <row r="6" spans="1:40" ht="30" x14ac:dyDescent="0.25">
      <c r="A6" s="57">
        <v>278817</v>
      </c>
      <c r="B6" s="58" t="s">
        <v>23</v>
      </c>
      <c r="C6" s="8" t="s">
        <v>343</v>
      </c>
      <c r="D6" s="84">
        <v>45102</v>
      </c>
      <c r="E6" s="84">
        <v>45329</v>
      </c>
      <c r="F6" s="8" t="s">
        <v>77</v>
      </c>
      <c r="G6" s="84">
        <v>30831</v>
      </c>
      <c r="H6" s="21">
        <f>DATEDIF(G6,E6,"Y")</f>
        <v>39</v>
      </c>
      <c r="I6" s="8">
        <v>5</v>
      </c>
      <c r="J6" s="8">
        <v>35</v>
      </c>
      <c r="K6" s="8" t="s">
        <v>30</v>
      </c>
      <c r="L6" s="8" t="s">
        <v>78</v>
      </c>
      <c r="M6" s="46" t="s">
        <v>84</v>
      </c>
      <c r="N6" s="8" t="s">
        <v>92</v>
      </c>
      <c r="O6" s="8"/>
      <c r="P6" s="81">
        <f>32+1/7</f>
        <v>32.142857142857146</v>
      </c>
      <c r="Q6" s="8">
        <v>2</v>
      </c>
      <c r="R6" s="8">
        <v>0</v>
      </c>
      <c r="S6" s="8">
        <v>1</v>
      </c>
      <c r="T6" s="5" t="s">
        <v>80</v>
      </c>
      <c r="U6" s="5" t="s">
        <v>165</v>
      </c>
      <c r="V6" s="5" t="s">
        <v>78</v>
      </c>
      <c r="W6" s="5" t="s">
        <v>559</v>
      </c>
      <c r="X6" s="5" t="s">
        <v>82</v>
      </c>
      <c r="Y6" s="5" t="s">
        <v>373</v>
      </c>
      <c r="Z6" s="8" t="s">
        <v>76</v>
      </c>
      <c r="AA6" s="12">
        <v>45351</v>
      </c>
      <c r="AB6" s="80">
        <f>37+4/7</f>
        <v>37.571428571428569</v>
      </c>
      <c r="AC6" s="5" t="s">
        <v>84</v>
      </c>
      <c r="AD6" s="27" t="s">
        <v>282</v>
      </c>
      <c r="AE6" s="15">
        <f t="shared" si="0"/>
        <v>22</v>
      </c>
      <c r="AF6" s="5">
        <v>1</v>
      </c>
      <c r="AG6" s="27" t="s">
        <v>505</v>
      </c>
      <c r="AH6" s="5" t="s">
        <v>84</v>
      </c>
      <c r="AI6" s="5" t="s">
        <v>210</v>
      </c>
      <c r="AJ6" s="5" t="s">
        <v>82</v>
      </c>
      <c r="AK6" s="5" t="s">
        <v>83</v>
      </c>
      <c r="AL6" s="6" t="s">
        <v>84</v>
      </c>
      <c r="AM6" s="80">
        <f>37+4/7</f>
        <v>37.571428571428569</v>
      </c>
      <c r="AN6" s="13" t="s">
        <v>506</v>
      </c>
    </row>
    <row r="7" spans="1:40" ht="45" x14ac:dyDescent="0.25">
      <c r="A7" s="57">
        <v>407217</v>
      </c>
      <c r="B7" s="58" t="s">
        <v>23</v>
      </c>
      <c r="C7" s="8" t="s">
        <v>39</v>
      </c>
      <c r="D7" s="84">
        <v>45200</v>
      </c>
      <c r="E7" s="84">
        <v>45384</v>
      </c>
      <c r="F7" s="8" t="s">
        <v>77</v>
      </c>
      <c r="G7" s="84">
        <v>31179</v>
      </c>
      <c r="H7" s="21">
        <f t="shared" ref="H7:H38" si="1">DATEDIF(G7,D7,"Y")</f>
        <v>38</v>
      </c>
      <c r="I7" s="8">
        <v>3</v>
      </c>
      <c r="J7" s="8">
        <v>26</v>
      </c>
      <c r="K7" s="8" t="s">
        <v>30</v>
      </c>
      <c r="L7" s="8" t="s">
        <v>176</v>
      </c>
      <c r="M7" s="8"/>
      <c r="N7" s="8" t="s">
        <v>92</v>
      </c>
      <c r="O7" s="8"/>
      <c r="P7" s="81">
        <f>28+2/7</f>
        <v>28.285714285714285</v>
      </c>
      <c r="Q7" s="8">
        <v>2</v>
      </c>
      <c r="R7" s="8">
        <v>0</v>
      </c>
      <c r="S7" s="8">
        <v>1</v>
      </c>
      <c r="T7" s="5" t="s">
        <v>80</v>
      </c>
      <c r="U7" s="5" t="s">
        <v>95</v>
      </c>
      <c r="V7" s="5" t="s">
        <v>78</v>
      </c>
      <c r="W7" s="5" t="s">
        <v>559</v>
      </c>
      <c r="X7" s="5" t="s">
        <v>82</v>
      </c>
      <c r="Y7" s="5" t="s">
        <v>373</v>
      </c>
      <c r="Z7" s="8" t="s">
        <v>39</v>
      </c>
      <c r="AA7" s="12">
        <v>45449</v>
      </c>
      <c r="AB7" s="80">
        <f>37+4/7</f>
        <v>37.571428571428569</v>
      </c>
      <c r="AC7" s="5"/>
      <c r="AD7" s="5" t="s">
        <v>207</v>
      </c>
      <c r="AE7" s="15">
        <f t="shared" si="0"/>
        <v>65</v>
      </c>
      <c r="AF7" s="5">
        <v>0</v>
      </c>
      <c r="AG7" s="5"/>
      <c r="AH7" s="5" t="s">
        <v>80</v>
      </c>
      <c r="AI7" s="5" t="s">
        <v>388</v>
      </c>
      <c r="AJ7" s="13" t="s">
        <v>449</v>
      </c>
      <c r="AK7" s="5" t="s">
        <v>373</v>
      </c>
      <c r="AL7" s="5" t="s">
        <v>207</v>
      </c>
      <c r="AM7" s="80">
        <v>38</v>
      </c>
      <c r="AN7" s="5" t="s">
        <v>176</v>
      </c>
    </row>
    <row r="8" spans="1:40" ht="45" x14ac:dyDescent="0.25">
      <c r="A8" s="57">
        <v>408600</v>
      </c>
      <c r="B8" s="58" t="s">
        <v>23</v>
      </c>
      <c r="C8" s="8" t="s">
        <v>39</v>
      </c>
      <c r="D8" s="84">
        <v>45274</v>
      </c>
      <c r="E8" s="84">
        <v>45475</v>
      </c>
      <c r="F8" s="8" t="s">
        <v>77</v>
      </c>
      <c r="G8" s="84">
        <v>31677</v>
      </c>
      <c r="H8" s="21">
        <f t="shared" si="1"/>
        <v>37</v>
      </c>
      <c r="I8" s="8">
        <v>4</v>
      </c>
      <c r="J8" s="8">
        <v>35</v>
      </c>
      <c r="K8" s="8" t="s">
        <v>30</v>
      </c>
      <c r="L8" s="8" t="s">
        <v>78</v>
      </c>
      <c r="M8" s="46" t="s">
        <v>4</v>
      </c>
      <c r="N8" s="8" t="s">
        <v>181</v>
      </c>
      <c r="O8" s="8"/>
      <c r="P8" s="81">
        <f>30+5/7</f>
        <v>30.714285714285715</v>
      </c>
      <c r="Q8" s="8">
        <v>2</v>
      </c>
      <c r="R8" s="8">
        <v>0</v>
      </c>
      <c r="S8" s="8">
        <v>1</v>
      </c>
      <c r="T8" s="5" t="s">
        <v>80</v>
      </c>
      <c r="U8" s="5" t="s">
        <v>95</v>
      </c>
      <c r="V8" s="5" t="s">
        <v>78</v>
      </c>
      <c r="W8" s="5" t="s">
        <v>559</v>
      </c>
      <c r="X8" s="5" t="s">
        <v>82</v>
      </c>
      <c r="Y8" s="5" t="s">
        <v>373</v>
      </c>
      <c r="Z8" s="46" t="s">
        <v>39</v>
      </c>
      <c r="AA8" s="12">
        <v>45532</v>
      </c>
      <c r="AB8" s="80">
        <f>38+6/7</f>
        <v>38.857142857142854</v>
      </c>
      <c r="AC8" s="5"/>
      <c r="AD8" s="5" t="s">
        <v>207</v>
      </c>
      <c r="AE8" s="15">
        <f t="shared" si="0"/>
        <v>57</v>
      </c>
      <c r="AF8" s="5">
        <v>1</v>
      </c>
      <c r="AG8" s="13" t="s">
        <v>473</v>
      </c>
      <c r="AH8" s="5" t="s">
        <v>80</v>
      </c>
      <c r="AI8" s="5" t="s">
        <v>383</v>
      </c>
      <c r="AJ8" s="5" t="s">
        <v>82</v>
      </c>
      <c r="AK8" s="5" t="s">
        <v>373</v>
      </c>
      <c r="AL8" s="5" t="s">
        <v>207</v>
      </c>
      <c r="AM8" s="80">
        <v>39</v>
      </c>
      <c r="AN8" s="5" t="s">
        <v>475</v>
      </c>
    </row>
    <row r="9" spans="1:40" ht="30" x14ac:dyDescent="0.25">
      <c r="A9" s="62">
        <v>411682</v>
      </c>
      <c r="B9" s="58" t="s">
        <v>23</v>
      </c>
      <c r="C9" s="86" t="s">
        <v>76</v>
      </c>
      <c r="D9" s="87">
        <v>45330</v>
      </c>
      <c r="E9" s="87">
        <v>45306</v>
      </c>
      <c r="F9" s="86" t="s">
        <v>77</v>
      </c>
      <c r="G9" s="87">
        <v>30722</v>
      </c>
      <c r="H9" s="88">
        <f t="shared" si="1"/>
        <v>39</v>
      </c>
      <c r="I9" s="86">
        <v>1</v>
      </c>
      <c r="J9" s="86" t="s">
        <v>208</v>
      </c>
      <c r="K9" s="86" t="s">
        <v>30</v>
      </c>
      <c r="L9" s="86" t="s">
        <v>78</v>
      </c>
      <c r="M9" s="90" t="s">
        <v>547</v>
      </c>
      <c r="N9" s="86" t="s">
        <v>92</v>
      </c>
      <c r="O9" s="86"/>
      <c r="P9" s="89">
        <f>35+4/7</f>
        <v>35.571428571428569</v>
      </c>
      <c r="Q9" s="86">
        <v>2</v>
      </c>
      <c r="R9" s="86">
        <v>0</v>
      </c>
      <c r="S9" s="86">
        <v>1</v>
      </c>
      <c r="T9" s="5" t="s">
        <v>80</v>
      </c>
      <c r="U9" s="5" t="s">
        <v>165</v>
      </c>
      <c r="V9" s="5" t="s">
        <v>78</v>
      </c>
      <c r="W9" s="5" t="s">
        <v>559</v>
      </c>
      <c r="X9" s="5" t="s">
        <v>82</v>
      </c>
      <c r="Y9" s="5" t="s">
        <v>373</v>
      </c>
      <c r="Z9" s="8" t="s">
        <v>76</v>
      </c>
      <c r="AA9" s="12">
        <v>45310</v>
      </c>
      <c r="AB9" s="80">
        <f>36+1/7</f>
        <v>36.142857142857146</v>
      </c>
      <c r="AC9" s="5"/>
      <c r="AD9" s="5" t="s">
        <v>579</v>
      </c>
      <c r="AE9" s="15">
        <f t="shared" si="0"/>
        <v>4</v>
      </c>
      <c r="AF9" s="5">
        <v>1</v>
      </c>
      <c r="AG9" s="5" t="s">
        <v>134</v>
      </c>
      <c r="AH9" s="5" t="s">
        <v>80</v>
      </c>
      <c r="AI9" s="5" t="s">
        <v>210</v>
      </c>
      <c r="AJ9" s="5" t="s">
        <v>82</v>
      </c>
      <c r="AK9" s="5" t="s">
        <v>373</v>
      </c>
      <c r="AL9" s="5" t="s">
        <v>134</v>
      </c>
      <c r="AM9" s="80">
        <f>36+1/7</f>
        <v>36.142857142857146</v>
      </c>
      <c r="AN9" s="5"/>
    </row>
    <row r="10" spans="1:40" x14ac:dyDescent="0.25">
      <c r="A10" s="59">
        <v>413326</v>
      </c>
      <c r="B10" s="59" t="s">
        <v>3</v>
      </c>
      <c r="C10" s="51" t="s">
        <v>4</v>
      </c>
      <c r="D10" s="52">
        <v>45227</v>
      </c>
      <c r="E10" s="52">
        <v>45461</v>
      </c>
      <c r="F10" s="51" t="s">
        <v>77</v>
      </c>
      <c r="G10" s="52">
        <v>32775</v>
      </c>
      <c r="H10" s="39">
        <f t="shared" si="1"/>
        <v>34</v>
      </c>
      <c r="I10" s="51">
        <v>1</v>
      </c>
      <c r="J10" s="51">
        <v>27</v>
      </c>
      <c r="K10" s="51" t="s">
        <v>30</v>
      </c>
      <c r="L10" s="51" t="s">
        <v>78</v>
      </c>
      <c r="M10" s="40" t="s">
        <v>4</v>
      </c>
      <c r="N10" s="40"/>
      <c r="O10" s="51"/>
      <c r="P10" s="85">
        <f>35+3/7</f>
        <v>35.428571428571431</v>
      </c>
      <c r="Q10" s="51">
        <v>7</v>
      </c>
      <c r="R10" s="51">
        <v>0</v>
      </c>
      <c r="S10" s="51" t="s">
        <v>102</v>
      </c>
      <c r="T10" s="6" t="s">
        <v>80</v>
      </c>
      <c r="U10" s="6" t="s">
        <v>155</v>
      </c>
      <c r="V10" s="5" t="s">
        <v>77</v>
      </c>
      <c r="W10" s="5" t="s">
        <v>559</v>
      </c>
      <c r="X10" s="26" t="s">
        <v>82</v>
      </c>
      <c r="Y10" s="6" t="s">
        <v>189</v>
      </c>
      <c r="Z10" s="8" t="s">
        <v>4</v>
      </c>
      <c r="AA10" s="12">
        <v>45471</v>
      </c>
      <c r="AB10" s="80">
        <f>36+6/7</f>
        <v>36.857142857142854</v>
      </c>
      <c r="AC10" s="5"/>
      <c r="AD10" s="5" t="s">
        <v>207</v>
      </c>
      <c r="AE10" s="15">
        <f t="shared" si="0"/>
        <v>10</v>
      </c>
      <c r="AF10" s="15">
        <v>0</v>
      </c>
      <c r="AG10" s="5"/>
      <c r="AH10" s="6" t="s">
        <v>80</v>
      </c>
      <c r="AI10" s="5" t="s">
        <v>94</v>
      </c>
      <c r="AJ10" s="6" t="s">
        <v>82</v>
      </c>
      <c r="AK10" s="6" t="s">
        <v>190</v>
      </c>
      <c r="AL10" s="5" t="s">
        <v>207</v>
      </c>
      <c r="AM10" s="80">
        <v>37</v>
      </c>
      <c r="AN10" s="5" t="s">
        <v>4</v>
      </c>
    </row>
    <row r="11" spans="1:40" ht="60" x14ac:dyDescent="0.25">
      <c r="A11" s="59">
        <v>415784</v>
      </c>
      <c r="B11" s="59" t="s">
        <v>3</v>
      </c>
      <c r="C11" s="8" t="s">
        <v>39</v>
      </c>
      <c r="D11" s="84">
        <v>45147</v>
      </c>
      <c r="E11" s="84">
        <v>45317</v>
      </c>
      <c r="F11" s="8" t="s">
        <v>77</v>
      </c>
      <c r="G11" s="84">
        <v>29569</v>
      </c>
      <c r="H11" s="21">
        <f t="shared" si="1"/>
        <v>42</v>
      </c>
      <c r="I11" s="8">
        <v>3</v>
      </c>
      <c r="J11" s="8">
        <v>26</v>
      </c>
      <c r="K11" s="8" t="s">
        <v>30</v>
      </c>
      <c r="L11" s="8" t="s">
        <v>78</v>
      </c>
      <c r="M11" s="46"/>
      <c r="N11" s="46"/>
      <c r="O11" s="8"/>
      <c r="P11" s="81">
        <f>26+2/7</f>
        <v>26.285714285714285</v>
      </c>
      <c r="Q11" s="8">
        <v>3</v>
      </c>
      <c r="R11" s="8">
        <v>0</v>
      </c>
      <c r="S11" s="8" t="s">
        <v>98</v>
      </c>
      <c r="T11" s="6" t="s">
        <v>71</v>
      </c>
      <c r="U11" s="6" t="s">
        <v>95</v>
      </c>
      <c r="V11" s="5" t="s">
        <v>77</v>
      </c>
      <c r="W11" s="13" t="s">
        <v>560</v>
      </c>
      <c r="X11" s="6" t="s">
        <v>82</v>
      </c>
      <c r="Y11" s="5" t="s">
        <v>373</v>
      </c>
      <c r="Z11" s="8" t="s">
        <v>39</v>
      </c>
      <c r="AA11" s="12">
        <v>45374</v>
      </c>
      <c r="AB11" s="80">
        <f>34+3/7</f>
        <v>34.428571428571431</v>
      </c>
      <c r="AC11" s="5"/>
      <c r="AD11" s="27" t="s">
        <v>576</v>
      </c>
      <c r="AE11" s="15">
        <f t="shared" si="0"/>
        <v>57</v>
      </c>
      <c r="AF11" s="15">
        <v>1</v>
      </c>
      <c r="AG11" s="13" t="s">
        <v>147</v>
      </c>
      <c r="AH11" s="6" t="s">
        <v>71</v>
      </c>
      <c r="AI11" s="13" t="s">
        <v>146</v>
      </c>
      <c r="AJ11" s="6" t="s">
        <v>82</v>
      </c>
      <c r="AK11" s="6" t="s">
        <v>83</v>
      </c>
      <c r="AL11" s="6" t="s">
        <v>343</v>
      </c>
      <c r="AM11" s="83">
        <f>35+1/7</f>
        <v>35.142857142857146</v>
      </c>
      <c r="AN11" s="6" t="s">
        <v>343</v>
      </c>
    </row>
    <row r="12" spans="1:40" ht="60" x14ac:dyDescent="0.25">
      <c r="A12" s="57">
        <v>423266</v>
      </c>
      <c r="B12" s="58" t="s">
        <v>23</v>
      </c>
      <c r="C12" s="8" t="s">
        <v>39</v>
      </c>
      <c r="D12" s="84">
        <v>45166</v>
      </c>
      <c r="E12" s="84">
        <v>45382</v>
      </c>
      <c r="F12" s="8" t="s">
        <v>77</v>
      </c>
      <c r="G12" s="84">
        <v>31842</v>
      </c>
      <c r="H12" s="21">
        <f t="shared" si="1"/>
        <v>36</v>
      </c>
      <c r="I12" s="8">
        <v>4</v>
      </c>
      <c r="J12" s="8">
        <v>35</v>
      </c>
      <c r="K12" s="8" t="s">
        <v>30</v>
      </c>
      <c r="L12" s="8" t="s">
        <v>78</v>
      </c>
      <c r="M12" s="8" t="s">
        <v>544</v>
      </c>
      <c r="N12" s="8"/>
      <c r="O12" s="8"/>
      <c r="P12" s="81">
        <f>32+6/7</f>
        <v>32.857142857142854</v>
      </c>
      <c r="Q12" s="8">
        <v>3</v>
      </c>
      <c r="R12" s="8">
        <v>0</v>
      </c>
      <c r="S12" s="8">
        <v>1</v>
      </c>
      <c r="T12" s="5" t="s">
        <v>80</v>
      </c>
      <c r="U12" s="5" t="s">
        <v>95</v>
      </c>
      <c r="V12" s="5" t="s">
        <v>77</v>
      </c>
      <c r="W12" s="5" t="s">
        <v>559</v>
      </c>
      <c r="X12" s="5" t="s">
        <v>82</v>
      </c>
      <c r="Y12" s="5" t="s">
        <v>373</v>
      </c>
      <c r="Z12" s="46" t="s">
        <v>39</v>
      </c>
      <c r="AA12" s="12">
        <v>45383</v>
      </c>
      <c r="AB12" s="80">
        <v>33</v>
      </c>
      <c r="AC12" s="5"/>
      <c r="AD12" s="13" t="s">
        <v>575</v>
      </c>
      <c r="AE12" s="15">
        <f t="shared" si="0"/>
        <v>1</v>
      </c>
      <c r="AF12" s="5">
        <v>1</v>
      </c>
      <c r="AG12" s="13" t="s">
        <v>477</v>
      </c>
      <c r="AH12" s="5" t="s">
        <v>80</v>
      </c>
      <c r="AI12" s="5" t="s">
        <v>334</v>
      </c>
      <c r="AJ12" s="6" t="s">
        <v>479</v>
      </c>
      <c r="AK12" s="5" t="s">
        <v>373</v>
      </c>
      <c r="AL12" s="6" t="s">
        <v>581</v>
      </c>
      <c r="AM12" s="83">
        <f>34+1/7</f>
        <v>34.142857142857146</v>
      </c>
      <c r="AN12" s="6" t="s">
        <v>509</v>
      </c>
    </row>
    <row r="13" spans="1:40" x14ac:dyDescent="0.25">
      <c r="A13" s="60">
        <v>423810</v>
      </c>
      <c r="B13" s="6" t="s">
        <v>7</v>
      </c>
      <c r="C13" s="86" t="s">
        <v>6</v>
      </c>
      <c r="D13" s="87">
        <v>45252</v>
      </c>
      <c r="E13" s="87">
        <v>45460</v>
      </c>
      <c r="F13" s="86" t="s">
        <v>77</v>
      </c>
      <c r="G13" s="87">
        <v>33135</v>
      </c>
      <c r="H13" s="88">
        <f t="shared" si="1"/>
        <v>33</v>
      </c>
      <c r="I13" s="86">
        <v>1</v>
      </c>
      <c r="J13" s="86">
        <v>38</v>
      </c>
      <c r="K13" s="86" t="s">
        <v>30</v>
      </c>
      <c r="L13" s="86" t="s">
        <v>78</v>
      </c>
      <c r="M13" s="86"/>
      <c r="N13" s="86"/>
      <c r="O13" s="86"/>
      <c r="P13" s="89">
        <f>31+5/7</f>
        <v>31.714285714285715</v>
      </c>
      <c r="Q13" s="86">
        <v>2</v>
      </c>
      <c r="R13" s="86">
        <v>1</v>
      </c>
      <c r="S13" s="86" t="s">
        <v>98</v>
      </c>
      <c r="T13" s="5" t="s">
        <v>71</v>
      </c>
      <c r="U13" s="5" t="s">
        <v>165</v>
      </c>
      <c r="V13" s="6" t="s">
        <v>78</v>
      </c>
      <c r="W13" s="5" t="s">
        <v>559</v>
      </c>
      <c r="X13" s="5" t="s">
        <v>82</v>
      </c>
      <c r="Y13" s="5" t="s">
        <v>373</v>
      </c>
      <c r="Z13" s="8" t="s">
        <v>6</v>
      </c>
      <c r="AA13" s="12">
        <v>45511</v>
      </c>
      <c r="AB13" s="80">
        <f>38+4/7</f>
        <v>38.571428571428569</v>
      </c>
      <c r="AC13" s="5"/>
      <c r="AD13" s="5" t="s">
        <v>207</v>
      </c>
      <c r="AE13" s="15">
        <f t="shared" si="0"/>
        <v>51</v>
      </c>
      <c r="AF13" s="15">
        <v>0</v>
      </c>
      <c r="AG13" s="5"/>
      <c r="AH13" s="5" t="s">
        <v>71</v>
      </c>
      <c r="AI13" s="5" t="s">
        <v>94</v>
      </c>
      <c r="AJ13" s="5" t="s">
        <v>82</v>
      </c>
      <c r="AK13" s="5" t="s">
        <v>83</v>
      </c>
      <c r="AL13" s="5" t="s">
        <v>207</v>
      </c>
      <c r="AM13" s="102">
        <v>39</v>
      </c>
      <c r="AN13" s="6" t="s">
        <v>76</v>
      </c>
    </row>
    <row r="14" spans="1:40" x14ac:dyDescent="0.25">
      <c r="A14" s="57">
        <v>426355</v>
      </c>
      <c r="B14" s="58" t="s">
        <v>23</v>
      </c>
      <c r="C14" s="8" t="s">
        <v>39</v>
      </c>
      <c r="D14" s="84">
        <v>44976</v>
      </c>
      <c r="E14" s="84">
        <v>45351</v>
      </c>
      <c r="F14" s="8" t="s">
        <v>77</v>
      </c>
      <c r="G14" s="84">
        <v>31189</v>
      </c>
      <c r="H14" s="21">
        <f t="shared" si="1"/>
        <v>37</v>
      </c>
      <c r="I14" s="8">
        <v>4</v>
      </c>
      <c r="J14" s="8">
        <v>38</v>
      </c>
      <c r="K14" s="8" t="s">
        <v>30</v>
      </c>
      <c r="L14" s="8" t="s">
        <v>78</v>
      </c>
      <c r="M14" s="46" t="s">
        <v>84</v>
      </c>
      <c r="N14" s="8" t="s">
        <v>181</v>
      </c>
      <c r="O14" s="8"/>
      <c r="P14" s="81">
        <f>34+1/7</f>
        <v>34.142857142857146</v>
      </c>
      <c r="Q14" s="8">
        <v>2</v>
      </c>
      <c r="R14" s="8">
        <v>0</v>
      </c>
      <c r="S14" s="8">
        <v>1</v>
      </c>
      <c r="T14" s="6" t="s">
        <v>80</v>
      </c>
      <c r="U14" s="6" t="s">
        <v>95</v>
      </c>
      <c r="V14" s="6" t="s">
        <v>78</v>
      </c>
      <c r="W14" s="6" t="s">
        <v>110</v>
      </c>
      <c r="X14" s="6" t="s">
        <v>82</v>
      </c>
      <c r="Y14" s="6" t="s">
        <v>373</v>
      </c>
      <c r="Z14" s="8" t="s">
        <v>39</v>
      </c>
      <c r="AA14" s="100">
        <v>45384</v>
      </c>
      <c r="AB14" s="83">
        <f>38+6/7</f>
        <v>38.857142857142854</v>
      </c>
      <c r="AC14" s="6"/>
      <c r="AD14" s="6" t="s">
        <v>207</v>
      </c>
      <c r="AE14" s="44">
        <f t="shared" si="0"/>
        <v>33</v>
      </c>
      <c r="AF14" s="6">
        <v>0</v>
      </c>
      <c r="AG14" s="6"/>
      <c r="AH14" s="6" t="s">
        <v>80</v>
      </c>
      <c r="AI14" s="6" t="s">
        <v>110</v>
      </c>
      <c r="AJ14" s="6" t="s">
        <v>82</v>
      </c>
      <c r="AK14" s="6" t="s">
        <v>373</v>
      </c>
      <c r="AL14" s="6" t="s">
        <v>207</v>
      </c>
      <c r="AM14" s="83">
        <f>39</f>
        <v>39</v>
      </c>
      <c r="AN14" s="6" t="s">
        <v>181</v>
      </c>
    </row>
    <row r="15" spans="1:40" ht="45" x14ac:dyDescent="0.25">
      <c r="A15" s="57">
        <v>432835</v>
      </c>
      <c r="B15" s="58" t="s">
        <v>23</v>
      </c>
      <c r="C15" s="8" t="s">
        <v>39</v>
      </c>
      <c r="D15" s="84">
        <v>45266</v>
      </c>
      <c r="E15" s="84">
        <v>45449</v>
      </c>
      <c r="F15" s="8" t="s">
        <v>77</v>
      </c>
      <c r="G15" s="84">
        <v>32186</v>
      </c>
      <c r="H15" s="21">
        <f t="shared" si="1"/>
        <v>35</v>
      </c>
      <c r="I15" s="8">
        <v>2</v>
      </c>
      <c r="J15" s="8">
        <v>33</v>
      </c>
      <c r="K15" s="8" t="s">
        <v>30</v>
      </c>
      <c r="L15" s="8" t="s">
        <v>78</v>
      </c>
      <c r="M15" s="46" t="s">
        <v>543</v>
      </c>
      <c r="N15" s="8" t="s">
        <v>154</v>
      </c>
      <c r="O15" s="8"/>
      <c r="P15" s="81">
        <f>28+1/7</f>
        <v>28.142857142857142</v>
      </c>
      <c r="Q15" s="8">
        <v>2</v>
      </c>
      <c r="R15" s="8">
        <v>0</v>
      </c>
      <c r="S15" s="8">
        <v>1</v>
      </c>
      <c r="T15" s="5" t="s">
        <v>80</v>
      </c>
      <c r="U15" s="5" t="s">
        <v>95</v>
      </c>
      <c r="V15" s="5" t="s">
        <v>78</v>
      </c>
      <c r="W15" s="13" t="s">
        <v>558</v>
      </c>
      <c r="X15" s="5" t="s">
        <v>82</v>
      </c>
      <c r="Y15" s="5" t="s">
        <v>373</v>
      </c>
      <c r="Z15" s="8" t="s">
        <v>39</v>
      </c>
      <c r="AA15" s="12">
        <v>45518</v>
      </c>
      <c r="AB15" s="80">
        <f>38</f>
        <v>38</v>
      </c>
      <c r="AC15" s="5"/>
      <c r="AD15" s="5" t="s">
        <v>207</v>
      </c>
      <c r="AE15" s="15">
        <f t="shared" si="0"/>
        <v>69</v>
      </c>
      <c r="AF15" s="5">
        <v>0</v>
      </c>
      <c r="AG15" s="5"/>
      <c r="AH15" s="5" t="s">
        <v>80</v>
      </c>
      <c r="AI15" s="13" t="s">
        <v>447</v>
      </c>
      <c r="AJ15" s="5" t="s">
        <v>82</v>
      </c>
      <c r="AK15" s="5" t="s">
        <v>373</v>
      </c>
      <c r="AL15" s="5" t="s">
        <v>207</v>
      </c>
      <c r="AM15" s="80">
        <f>38+2/7</f>
        <v>38.285714285714285</v>
      </c>
      <c r="AN15" s="13" t="s">
        <v>448</v>
      </c>
    </row>
    <row r="16" spans="1:40" x14ac:dyDescent="0.25">
      <c r="A16" s="57">
        <v>437843</v>
      </c>
      <c r="B16" s="58" t="s">
        <v>23</v>
      </c>
      <c r="C16" s="46" t="s">
        <v>39</v>
      </c>
      <c r="D16" s="84">
        <v>45152</v>
      </c>
      <c r="E16" s="84">
        <v>45336</v>
      </c>
      <c r="F16" s="8" t="s">
        <v>77</v>
      </c>
      <c r="G16" s="84">
        <v>34197</v>
      </c>
      <c r="H16" s="21">
        <f t="shared" si="1"/>
        <v>29</v>
      </c>
      <c r="I16" s="8">
        <v>3</v>
      </c>
      <c r="J16" s="8">
        <v>40</v>
      </c>
      <c r="K16" s="8" t="s">
        <v>30</v>
      </c>
      <c r="L16" s="8" t="s">
        <v>78</v>
      </c>
      <c r="M16" s="8" t="s">
        <v>4</v>
      </c>
      <c r="N16" s="8" t="s">
        <v>181</v>
      </c>
      <c r="O16" s="8"/>
      <c r="P16" s="81">
        <f>28+1/7</f>
        <v>28.142857142857142</v>
      </c>
      <c r="Q16" s="8">
        <v>3</v>
      </c>
      <c r="R16" s="8">
        <v>0</v>
      </c>
      <c r="S16" s="8">
        <v>1</v>
      </c>
      <c r="T16" s="5" t="s">
        <v>80</v>
      </c>
      <c r="U16" s="5" t="s">
        <v>95</v>
      </c>
      <c r="V16" s="5" t="s">
        <v>78</v>
      </c>
      <c r="W16" s="5" t="s">
        <v>559</v>
      </c>
      <c r="X16" s="5" t="s">
        <v>82</v>
      </c>
      <c r="Y16" s="5" t="s">
        <v>373</v>
      </c>
      <c r="Z16" s="8" t="s">
        <v>39</v>
      </c>
      <c r="AA16" s="12">
        <v>45406</v>
      </c>
      <c r="AB16" s="80">
        <f>38+1/7</f>
        <v>38.142857142857146</v>
      </c>
      <c r="AC16" s="5"/>
      <c r="AD16" s="5" t="s">
        <v>134</v>
      </c>
      <c r="AE16" s="15">
        <f t="shared" si="0"/>
        <v>70</v>
      </c>
      <c r="AF16" s="5">
        <v>0</v>
      </c>
      <c r="AG16" s="5"/>
      <c r="AH16" s="5" t="s">
        <v>71</v>
      </c>
      <c r="AI16" s="5" t="s">
        <v>107</v>
      </c>
      <c r="AJ16" s="5" t="s">
        <v>82</v>
      </c>
      <c r="AK16" s="5" t="s">
        <v>373</v>
      </c>
      <c r="AL16" s="5" t="s">
        <v>134</v>
      </c>
      <c r="AM16" s="80">
        <f>38+1/7</f>
        <v>38.142857142857146</v>
      </c>
      <c r="AN16" s="5"/>
    </row>
    <row r="17" spans="1:40" x14ac:dyDescent="0.25">
      <c r="A17" s="57">
        <v>452629</v>
      </c>
      <c r="B17" s="58" t="s">
        <v>23</v>
      </c>
      <c r="C17" s="8" t="s">
        <v>39</v>
      </c>
      <c r="D17" s="84">
        <v>45048</v>
      </c>
      <c r="E17" s="84">
        <v>45260</v>
      </c>
      <c r="F17" s="8" t="s">
        <v>77</v>
      </c>
      <c r="G17" s="84">
        <v>30032</v>
      </c>
      <c r="H17" s="21">
        <f t="shared" si="1"/>
        <v>41</v>
      </c>
      <c r="I17" s="8">
        <v>3</v>
      </c>
      <c r="J17" s="8">
        <v>32</v>
      </c>
      <c r="K17" s="8" t="s">
        <v>30</v>
      </c>
      <c r="L17" s="8" t="s">
        <v>78</v>
      </c>
      <c r="M17" s="8" t="s">
        <v>541</v>
      </c>
      <c r="N17" s="8" t="s">
        <v>92</v>
      </c>
      <c r="O17" s="8"/>
      <c r="P17" s="81">
        <f>32+2/7</f>
        <v>32.285714285714285</v>
      </c>
      <c r="Q17" s="8">
        <v>3</v>
      </c>
      <c r="R17" s="8">
        <v>0</v>
      </c>
      <c r="S17" s="8">
        <v>1</v>
      </c>
      <c r="T17" s="5" t="s">
        <v>80</v>
      </c>
      <c r="U17" s="5" t="s">
        <v>95</v>
      </c>
      <c r="V17" s="5" t="s">
        <v>78</v>
      </c>
      <c r="W17" s="5" t="s">
        <v>559</v>
      </c>
      <c r="X17" s="5" t="s">
        <v>82</v>
      </c>
      <c r="Y17" s="5" t="s">
        <v>373</v>
      </c>
      <c r="Z17" s="8" t="s">
        <v>39</v>
      </c>
      <c r="AA17" s="12">
        <v>45297</v>
      </c>
      <c r="AB17" s="80">
        <f>37+4/7</f>
        <v>37.571428571428569</v>
      </c>
      <c r="AC17" s="5"/>
      <c r="AD17" s="5" t="s">
        <v>207</v>
      </c>
      <c r="AE17" s="15">
        <f t="shared" si="0"/>
        <v>37</v>
      </c>
      <c r="AF17" s="5">
        <v>0</v>
      </c>
      <c r="AG17" s="5"/>
      <c r="AH17" s="5" t="s">
        <v>80</v>
      </c>
      <c r="AI17" s="5" t="s">
        <v>383</v>
      </c>
      <c r="AJ17" s="5" t="s">
        <v>459</v>
      </c>
      <c r="AK17" s="5" t="s">
        <v>373</v>
      </c>
      <c r="AL17" s="5" t="s">
        <v>207</v>
      </c>
      <c r="AM17" s="80">
        <v>38</v>
      </c>
      <c r="AN17" s="5" t="s">
        <v>460</v>
      </c>
    </row>
    <row r="18" spans="1:40" ht="45" x14ac:dyDescent="0.25">
      <c r="A18" s="57">
        <v>460987</v>
      </c>
      <c r="B18" s="58" t="s">
        <v>23</v>
      </c>
      <c r="C18" s="8" t="s">
        <v>39</v>
      </c>
      <c r="D18" s="84">
        <v>45249</v>
      </c>
      <c r="E18" s="84">
        <v>45434</v>
      </c>
      <c r="F18" s="8" t="s">
        <v>77</v>
      </c>
      <c r="G18" s="84">
        <v>30494</v>
      </c>
      <c r="H18" s="21">
        <f t="shared" si="1"/>
        <v>40</v>
      </c>
      <c r="I18" s="8">
        <v>6</v>
      </c>
      <c r="J18" s="8">
        <v>37</v>
      </c>
      <c r="K18" s="8" t="s">
        <v>30</v>
      </c>
      <c r="L18" s="8" t="s">
        <v>78</v>
      </c>
      <c r="M18" s="66" t="s">
        <v>4</v>
      </c>
      <c r="N18" s="8"/>
      <c r="O18" s="8" t="s">
        <v>480</v>
      </c>
      <c r="P18" s="81">
        <f>28+3/7</f>
        <v>28.428571428571427</v>
      </c>
      <c r="Q18" s="8">
        <v>2</v>
      </c>
      <c r="R18" s="8">
        <v>0</v>
      </c>
      <c r="S18" s="8">
        <v>1</v>
      </c>
      <c r="T18" s="5" t="s">
        <v>80</v>
      </c>
      <c r="U18" s="5" t="s">
        <v>95</v>
      </c>
      <c r="V18" s="5" t="s">
        <v>78</v>
      </c>
      <c r="W18" s="5" t="s">
        <v>559</v>
      </c>
      <c r="X18" s="5" t="s">
        <v>82</v>
      </c>
      <c r="Y18" s="5" t="s">
        <v>373</v>
      </c>
      <c r="Z18" s="8" t="s">
        <v>39</v>
      </c>
      <c r="AA18" s="12">
        <v>45500</v>
      </c>
      <c r="AB18" s="80">
        <f>37+6/7</f>
        <v>37.857142857142854</v>
      </c>
      <c r="AC18" s="5"/>
      <c r="AD18" s="5" t="s">
        <v>134</v>
      </c>
      <c r="AE18" s="15">
        <f t="shared" si="0"/>
        <v>66</v>
      </c>
      <c r="AF18" s="5">
        <v>1</v>
      </c>
      <c r="AG18" s="13" t="s">
        <v>482</v>
      </c>
      <c r="AH18" s="5" t="s">
        <v>80</v>
      </c>
      <c r="AI18" s="5" t="s">
        <v>383</v>
      </c>
      <c r="AJ18" s="5" t="s">
        <v>82</v>
      </c>
      <c r="AK18" s="5" t="s">
        <v>373</v>
      </c>
      <c r="AL18" s="5" t="s">
        <v>134</v>
      </c>
      <c r="AM18" s="80">
        <f>37+2/7</f>
        <v>37.285714285714285</v>
      </c>
      <c r="AN18" s="5"/>
    </row>
    <row r="19" spans="1:40" ht="75" x14ac:dyDescent="0.25">
      <c r="A19" s="62">
        <v>460992</v>
      </c>
      <c r="B19" s="58" t="s">
        <v>23</v>
      </c>
      <c r="C19" s="8" t="s">
        <v>39</v>
      </c>
      <c r="D19" s="84">
        <v>45208</v>
      </c>
      <c r="E19" s="84">
        <v>45412</v>
      </c>
      <c r="F19" s="8" t="s">
        <v>77</v>
      </c>
      <c r="G19" s="84">
        <v>30997</v>
      </c>
      <c r="H19" s="21">
        <f t="shared" si="1"/>
        <v>38</v>
      </c>
      <c r="I19" s="8">
        <v>1</v>
      </c>
      <c r="J19" s="8">
        <v>39</v>
      </c>
      <c r="K19" s="8" t="s">
        <v>30</v>
      </c>
      <c r="L19" s="8" t="s">
        <v>78</v>
      </c>
      <c r="M19" s="8" t="s">
        <v>4</v>
      </c>
      <c r="N19" s="8" t="s">
        <v>92</v>
      </c>
      <c r="O19" s="8"/>
      <c r="P19" s="81">
        <f>31+5/7</f>
        <v>31.714285714285715</v>
      </c>
      <c r="Q19" s="8">
        <v>3</v>
      </c>
      <c r="R19" s="8">
        <v>0</v>
      </c>
      <c r="S19" s="8" t="s">
        <v>98</v>
      </c>
      <c r="T19" s="5" t="s">
        <v>80</v>
      </c>
      <c r="U19" s="5" t="s">
        <v>95</v>
      </c>
      <c r="V19" s="5" t="s">
        <v>78</v>
      </c>
      <c r="W19" s="5" t="s">
        <v>559</v>
      </c>
      <c r="X19" s="5" t="s">
        <v>82</v>
      </c>
      <c r="Y19" s="5" t="s">
        <v>373</v>
      </c>
      <c r="Z19" s="8" t="s">
        <v>39</v>
      </c>
      <c r="AA19" s="12">
        <v>45457</v>
      </c>
      <c r="AB19" s="80">
        <f>37+2/7</f>
        <v>37.285714285714285</v>
      </c>
      <c r="AC19" s="5"/>
      <c r="AD19" s="5" t="s">
        <v>134</v>
      </c>
      <c r="AE19" s="15">
        <f t="shared" si="0"/>
        <v>45</v>
      </c>
      <c r="AF19" s="5">
        <v>2</v>
      </c>
      <c r="AG19" s="13" t="s">
        <v>398</v>
      </c>
      <c r="AH19" s="5" t="s">
        <v>80</v>
      </c>
      <c r="AI19" s="13" t="s">
        <v>130</v>
      </c>
      <c r="AJ19" s="5" t="s">
        <v>82</v>
      </c>
      <c r="AK19" s="5" t="s">
        <v>373</v>
      </c>
      <c r="AL19" s="5" t="s">
        <v>134</v>
      </c>
      <c r="AM19" s="80">
        <f>37+2/7</f>
        <v>37.285714285714285</v>
      </c>
      <c r="AN19" s="5"/>
    </row>
    <row r="20" spans="1:40" x14ac:dyDescent="0.25">
      <c r="A20" s="57">
        <v>467408</v>
      </c>
      <c r="B20" s="58" t="s">
        <v>23</v>
      </c>
      <c r="C20" s="8" t="s">
        <v>39</v>
      </c>
      <c r="D20" s="84">
        <v>45138</v>
      </c>
      <c r="E20" s="84">
        <v>45320</v>
      </c>
      <c r="F20" s="8" t="s">
        <v>77</v>
      </c>
      <c r="G20" s="84">
        <v>30840</v>
      </c>
      <c r="H20" s="21">
        <f t="shared" si="1"/>
        <v>39</v>
      </c>
      <c r="I20" s="8">
        <v>3</v>
      </c>
      <c r="J20" s="8">
        <v>29</v>
      </c>
      <c r="K20" s="8" t="s">
        <v>30</v>
      </c>
      <c r="L20" s="8" t="s">
        <v>78</v>
      </c>
      <c r="M20" s="8"/>
      <c r="N20" s="8" t="s">
        <v>154</v>
      </c>
      <c r="O20" s="8"/>
      <c r="P20" s="81">
        <v>28</v>
      </c>
      <c r="Q20" s="8">
        <v>2</v>
      </c>
      <c r="R20" s="8">
        <v>0</v>
      </c>
      <c r="S20" s="8">
        <v>1</v>
      </c>
      <c r="T20" s="5" t="s">
        <v>80</v>
      </c>
      <c r="U20" s="5" t="s">
        <v>95</v>
      </c>
      <c r="V20" s="5" t="s">
        <v>78</v>
      </c>
      <c r="W20" s="5" t="s">
        <v>559</v>
      </c>
      <c r="X20" s="5" t="s">
        <v>82</v>
      </c>
      <c r="Y20" s="5" t="s">
        <v>373</v>
      </c>
      <c r="Z20" s="8" t="s">
        <v>39</v>
      </c>
      <c r="AA20" s="12">
        <v>45399</v>
      </c>
      <c r="AB20" s="80">
        <f>39+2/7</f>
        <v>39.285714285714285</v>
      </c>
      <c r="AC20" s="5"/>
      <c r="AD20" s="5" t="s">
        <v>134</v>
      </c>
      <c r="AE20" s="15">
        <f t="shared" si="0"/>
        <v>79</v>
      </c>
      <c r="AF20" s="5">
        <v>0</v>
      </c>
      <c r="AG20" s="5"/>
      <c r="AH20" s="5" t="s">
        <v>80</v>
      </c>
      <c r="AI20" s="5" t="s">
        <v>94</v>
      </c>
      <c r="AJ20" s="5" t="s">
        <v>82</v>
      </c>
      <c r="AK20" s="5" t="s">
        <v>373</v>
      </c>
      <c r="AL20" s="5" t="s">
        <v>134</v>
      </c>
      <c r="AM20" s="80">
        <f>39+2/7</f>
        <v>39.285714285714285</v>
      </c>
      <c r="AN20" s="5"/>
    </row>
    <row r="21" spans="1:40" x14ac:dyDescent="0.25">
      <c r="A21" s="60">
        <v>472809</v>
      </c>
      <c r="B21" s="6" t="s">
        <v>7</v>
      </c>
      <c r="C21" s="46" t="s">
        <v>5</v>
      </c>
      <c r="D21" s="84">
        <v>45344</v>
      </c>
      <c r="E21" s="84">
        <v>45546</v>
      </c>
      <c r="F21" s="8" t="s">
        <v>77</v>
      </c>
      <c r="G21" s="84">
        <v>31729</v>
      </c>
      <c r="H21" s="21">
        <f t="shared" si="1"/>
        <v>37</v>
      </c>
      <c r="I21" s="8">
        <v>4</v>
      </c>
      <c r="J21" s="8">
        <v>37</v>
      </c>
      <c r="K21" s="8" t="s">
        <v>30</v>
      </c>
      <c r="L21" s="8" t="s">
        <v>78</v>
      </c>
      <c r="M21" s="46"/>
      <c r="N21" s="8" t="s">
        <v>181</v>
      </c>
      <c r="O21" s="8"/>
      <c r="P21" s="81">
        <f>30+6/7</f>
        <v>30.857142857142858</v>
      </c>
      <c r="Q21" s="8">
        <v>2</v>
      </c>
      <c r="R21" s="8">
        <v>1</v>
      </c>
      <c r="S21" s="8" t="s">
        <v>253</v>
      </c>
      <c r="T21" s="5" t="s">
        <v>80</v>
      </c>
      <c r="U21" s="5" t="s">
        <v>95</v>
      </c>
      <c r="V21" s="5" t="s">
        <v>78</v>
      </c>
      <c r="W21" s="5" t="s">
        <v>559</v>
      </c>
      <c r="X21" s="5" t="s">
        <v>82</v>
      </c>
      <c r="Y21" s="5" t="s">
        <v>373</v>
      </c>
      <c r="Z21" s="46" t="s">
        <v>5</v>
      </c>
      <c r="AA21" s="12">
        <v>45595</v>
      </c>
      <c r="AB21" s="80">
        <f>37+6/7</f>
        <v>37.857142857142854</v>
      </c>
      <c r="AC21" s="5"/>
      <c r="AD21" s="5" t="s">
        <v>207</v>
      </c>
      <c r="AE21" s="15">
        <f t="shared" si="0"/>
        <v>49</v>
      </c>
      <c r="AF21" s="15">
        <v>0</v>
      </c>
      <c r="AG21" s="5"/>
      <c r="AH21" s="5" t="s">
        <v>80</v>
      </c>
      <c r="AI21" s="5" t="s">
        <v>94</v>
      </c>
      <c r="AJ21" s="5" t="s">
        <v>82</v>
      </c>
      <c r="AK21" s="5" t="s">
        <v>83</v>
      </c>
      <c r="AL21" s="5" t="s">
        <v>207</v>
      </c>
      <c r="AM21" s="80">
        <f>38+2/7</f>
        <v>38.285714285714285</v>
      </c>
      <c r="AN21" s="5" t="s">
        <v>312</v>
      </c>
    </row>
    <row r="22" spans="1:40" ht="60" x14ac:dyDescent="0.25">
      <c r="A22" s="59">
        <v>479535</v>
      </c>
      <c r="B22" s="59" t="s">
        <v>3</v>
      </c>
      <c r="C22" s="51" t="s">
        <v>4</v>
      </c>
      <c r="D22" s="52">
        <v>45048</v>
      </c>
      <c r="E22" s="52">
        <v>45214</v>
      </c>
      <c r="F22" s="51" t="s">
        <v>77</v>
      </c>
      <c r="G22" s="52">
        <v>34843</v>
      </c>
      <c r="H22" s="39">
        <f t="shared" si="1"/>
        <v>27</v>
      </c>
      <c r="I22" s="51">
        <v>3</v>
      </c>
      <c r="J22" s="51">
        <v>23</v>
      </c>
      <c r="K22" s="51" t="s">
        <v>30</v>
      </c>
      <c r="L22" s="51" t="s">
        <v>78</v>
      </c>
      <c r="M22" s="40" t="s">
        <v>4</v>
      </c>
      <c r="N22" s="40"/>
      <c r="O22" s="40" t="s">
        <v>262</v>
      </c>
      <c r="P22" s="85">
        <f>25+5/7</f>
        <v>25.714285714285715</v>
      </c>
      <c r="Q22" s="51">
        <v>7</v>
      </c>
      <c r="R22" s="51">
        <v>0</v>
      </c>
      <c r="S22" s="51">
        <v>2</v>
      </c>
      <c r="T22" s="6" t="s">
        <v>71</v>
      </c>
      <c r="U22" s="5" t="s">
        <v>165</v>
      </c>
      <c r="V22" s="5" t="s">
        <v>77</v>
      </c>
      <c r="W22" s="5" t="s">
        <v>559</v>
      </c>
      <c r="X22" s="6" t="s">
        <v>82</v>
      </c>
      <c r="Y22" s="6" t="s">
        <v>112</v>
      </c>
      <c r="Z22" s="8" t="s">
        <v>4</v>
      </c>
      <c r="AA22" s="12">
        <v>45292</v>
      </c>
      <c r="AB22" s="80">
        <f>36+6/7</f>
        <v>36.857142857142854</v>
      </c>
      <c r="AC22" s="5"/>
      <c r="AD22" s="6" t="s">
        <v>207</v>
      </c>
      <c r="AE22" s="15">
        <f t="shared" si="0"/>
        <v>78</v>
      </c>
      <c r="AF22" s="5">
        <v>0</v>
      </c>
      <c r="AG22" s="5">
        <v>0</v>
      </c>
      <c r="AH22" s="6" t="s">
        <v>71</v>
      </c>
      <c r="AI22" s="5" t="s">
        <v>94</v>
      </c>
      <c r="AJ22" s="5" t="s">
        <v>82</v>
      </c>
      <c r="AK22" s="6" t="s">
        <v>122</v>
      </c>
      <c r="AL22" s="5" t="s">
        <v>207</v>
      </c>
      <c r="AM22" s="80">
        <v>37</v>
      </c>
      <c r="AN22" s="5" t="s">
        <v>4</v>
      </c>
    </row>
    <row r="23" spans="1:40" ht="30" x14ac:dyDescent="0.25">
      <c r="A23" s="57">
        <v>480470</v>
      </c>
      <c r="B23" s="6" t="s">
        <v>7</v>
      </c>
      <c r="C23" s="46" t="s">
        <v>5</v>
      </c>
      <c r="D23" s="84">
        <v>45201</v>
      </c>
      <c r="E23" s="84">
        <v>45432</v>
      </c>
      <c r="F23" s="8" t="s">
        <v>77</v>
      </c>
      <c r="G23" s="84">
        <v>33972</v>
      </c>
      <c r="H23" s="21">
        <f t="shared" si="1"/>
        <v>30</v>
      </c>
      <c r="I23" s="8">
        <v>1</v>
      </c>
      <c r="J23" s="8">
        <v>28</v>
      </c>
      <c r="K23" s="8" t="s">
        <v>30</v>
      </c>
      <c r="L23" s="8" t="s">
        <v>78</v>
      </c>
      <c r="M23" s="46" t="s">
        <v>220</v>
      </c>
      <c r="N23" s="8" t="s">
        <v>92</v>
      </c>
      <c r="O23" s="8"/>
      <c r="P23" s="81">
        <v>35</v>
      </c>
      <c r="Q23" s="8">
        <v>3</v>
      </c>
      <c r="R23" s="8">
        <v>1</v>
      </c>
      <c r="S23" s="8" t="s">
        <v>98</v>
      </c>
      <c r="T23" s="5" t="s">
        <v>80</v>
      </c>
      <c r="U23" s="5" t="s">
        <v>165</v>
      </c>
      <c r="V23" s="5" t="s">
        <v>78</v>
      </c>
      <c r="W23" s="5" t="s">
        <v>559</v>
      </c>
      <c r="X23" s="6" t="s">
        <v>82</v>
      </c>
      <c r="Y23" s="5" t="s">
        <v>373</v>
      </c>
      <c r="Z23" s="8" t="s">
        <v>76</v>
      </c>
      <c r="AA23" s="12">
        <v>45463</v>
      </c>
      <c r="AB23" s="80">
        <f>39+3/7</f>
        <v>39.428571428571431</v>
      </c>
      <c r="AC23" s="5"/>
      <c r="AD23" s="5" t="s">
        <v>207</v>
      </c>
      <c r="AE23" s="15">
        <f t="shared" si="0"/>
        <v>31</v>
      </c>
      <c r="AF23" s="15">
        <v>0</v>
      </c>
      <c r="AG23" s="5"/>
      <c r="AH23" s="5" t="s">
        <v>80</v>
      </c>
      <c r="AI23" s="13" t="s">
        <v>107</v>
      </c>
      <c r="AJ23" s="6" t="s">
        <v>82</v>
      </c>
      <c r="AK23" s="6" t="s">
        <v>83</v>
      </c>
      <c r="AL23" s="5" t="s">
        <v>207</v>
      </c>
      <c r="AM23" s="80">
        <f>39+5/7</f>
        <v>39.714285714285715</v>
      </c>
      <c r="AN23" s="5" t="s">
        <v>39</v>
      </c>
    </row>
    <row r="24" spans="1:40" x14ac:dyDescent="0.25">
      <c r="A24" s="57">
        <v>481813</v>
      </c>
      <c r="B24" s="58" t="s">
        <v>23</v>
      </c>
      <c r="C24" s="86" t="s">
        <v>76</v>
      </c>
      <c r="D24" s="87">
        <v>45204</v>
      </c>
      <c r="E24" s="87">
        <v>45358</v>
      </c>
      <c r="F24" s="86" t="s">
        <v>77</v>
      </c>
      <c r="G24" s="87">
        <v>30282</v>
      </c>
      <c r="H24" s="88">
        <f t="shared" si="1"/>
        <v>40</v>
      </c>
      <c r="I24" s="86">
        <v>3</v>
      </c>
      <c r="J24" s="86">
        <v>37</v>
      </c>
      <c r="K24" s="86" t="s">
        <v>30</v>
      </c>
      <c r="L24" s="86" t="s">
        <v>78</v>
      </c>
      <c r="M24" s="86"/>
      <c r="N24" s="86" t="s">
        <v>92</v>
      </c>
      <c r="O24" s="86"/>
      <c r="P24" s="89">
        <f>37+1/7</f>
        <v>37.142857142857146</v>
      </c>
      <c r="Q24" s="86">
        <v>3</v>
      </c>
      <c r="R24" s="86">
        <v>0</v>
      </c>
      <c r="S24" s="86">
        <v>1</v>
      </c>
      <c r="T24" s="5" t="s">
        <v>80</v>
      </c>
      <c r="U24" s="5" t="s">
        <v>165</v>
      </c>
      <c r="V24" s="5" t="s">
        <v>78</v>
      </c>
      <c r="W24" s="5" t="s">
        <v>559</v>
      </c>
      <c r="X24" s="5" t="s">
        <v>82</v>
      </c>
      <c r="Y24" s="5" t="s">
        <v>373</v>
      </c>
      <c r="Z24" s="8" t="s">
        <v>76</v>
      </c>
      <c r="AA24" s="12">
        <v>45454</v>
      </c>
      <c r="AB24" s="80">
        <f>37+5/7</f>
        <v>37.714285714285715</v>
      </c>
      <c r="AC24" s="5" t="s">
        <v>4</v>
      </c>
      <c r="AD24" s="27" t="s">
        <v>282</v>
      </c>
      <c r="AE24" s="15">
        <f t="shared" si="0"/>
        <v>96</v>
      </c>
      <c r="AF24" s="5">
        <v>1</v>
      </c>
      <c r="AG24" s="5"/>
      <c r="AH24" s="5" t="s">
        <v>80</v>
      </c>
      <c r="AI24" s="5" t="s">
        <v>334</v>
      </c>
      <c r="AJ24" s="5" t="s">
        <v>82</v>
      </c>
      <c r="AK24" s="5" t="s">
        <v>423</v>
      </c>
      <c r="AL24" s="5" t="s">
        <v>4</v>
      </c>
      <c r="AM24" s="80">
        <f>37+5/7</f>
        <v>37.714285714285715</v>
      </c>
      <c r="AN24" s="5" t="s">
        <v>4</v>
      </c>
    </row>
    <row r="25" spans="1:40" ht="45" x14ac:dyDescent="0.25">
      <c r="A25" s="59">
        <v>485121</v>
      </c>
      <c r="B25" s="59" t="s">
        <v>3</v>
      </c>
      <c r="C25" s="8" t="s">
        <v>5</v>
      </c>
      <c r="D25" s="84">
        <v>45089</v>
      </c>
      <c r="E25" s="84">
        <v>45278</v>
      </c>
      <c r="F25" s="8" t="s">
        <v>77</v>
      </c>
      <c r="G25" s="84">
        <v>30613</v>
      </c>
      <c r="H25" s="21">
        <f t="shared" si="1"/>
        <v>39</v>
      </c>
      <c r="I25" s="8">
        <v>2</v>
      </c>
      <c r="J25" s="8">
        <v>28</v>
      </c>
      <c r="K25" s="8" t="s">
        <v>30</v>
      </c>
      <c r="L25" s="8" t="s">
        <v>78</v>
      </c>
      <c r="M25" s="46" t="s">
        <v>4</v>
      </c>
      <c r="N25" s="46"/>
      <c r="O25" s="8" t="s">
        <v>132</v>
      </c>
      <c r="P25" s="81">
        <f>27+5/7</f>
        <v>27.714285714285715</v>
      </c>
      <c r="Q25" s="8">
        <v>3</v>
      </c>
      <c r="R25" s="8">
        <v>0</v>
      </c>
      <c r="S25" s="8" t="s">
        <v>100</v>
      </c>
      <c r="T25" s="6" t="s">
        <v>80</v>
      </c>
      <c r="U25" s="6" t="s">
        <v>95</v>
      </c>
      <c r="V25" s="5" t="s">
        <v>77</v>
      </c>
      <c r="W25" s="13" t="s">
        <v>558</v>
      </c>
      <c r="X25" s="6" t="s">
        <v>82</v>
      </c>
      <c r="Y25" s="5" t="s">
        <v>373</v>
      </c>
      <c r="Z25" s="8" t="s">
        <v>39</v>
      </c>
      <c r="AA25" s="14">
        <v>45305</v>
      </c>
      <c r="AB25" s="80">
        <f>32+6/7</f>
        <v>32.857142857142854</v>
      </c>
      <c r="AC25" s="5"/>
      <c r="AD25" s="6" t="s">
        <v>134</v>
      </c>
      <c r="AE25" s="15">
        <f t="shared" si="0"/>
        <v>27</v>
      </c>
      <c r="AF25" s="15">
        <v>0</v>
      </c>
      <c r="AG25" s="5"/>
      <c r="AH25" s="6" t="s">
        <v>80</v>
      </c>
      <c r="AI25" s="13" t="s">
        <v>133</v>
      </c>
      <c r="AJ25" s="6" t="s">
        <v>82</v>
      </c>
      <c r="AK25" s="6" t="s">
        <v>83</v>
      </c>
      <c r="AL25" s="6" t="s">
        <v>134</v>
      </c>
      <c r="AM25" s="80">
        <f>32+6/7</f>
        <v>32.857142857142854</v>
      </c>
      <c r="AN25" s="5" t="s">
        <v>342</v>
      </c>
    </row>
    <row r="26" spans="1:40" x14ac:dyDescent="0.25">
      <c r="A26" s="61">
        <v>487721</v>
      </c>
      <c r="B26" s="6" t="s">
        <v>7</v>
      </c>
      <c r="C26" s="86" t="s">
        <v>76</v>
      </c>
      <c r="D26" s="87">
        <v>45117</v>
      </c>
      <c r="E26" s="87">
        <v>45327</v>
      </c>
      <c r="F26" s="86" t="s">
        <v>77</v>
      </c>
      <c r="G26" s="87">
        <v>31589</v>
      </c>
      <c r="H26" s="88">
        <f t="shared" si="1"/>
        <v>37</v>
      </c>
      <c r="I26" s="86">
        <v>5</v>
      </c>
      <c r="J26" s="86">
        <v>47</v>
      </c>
      <c r="K26" s="86" t="s">
        <v>30</v>
      </c>
      <c r="L26" s="86" t="s">
        <v>78</v>
      </c>
      <c r="M26" s="86" t="s">
        <v>182</v>
      </c>
      <c r="N26" s="86" t="s">
        <v>154</v>
      </c>
      <c r="O26" s="86"/>
      <c r="P26" s="89">
        <f>32</f>
        <v>32</v>
      </c>
      <c r="Q26" s="86">
        <v>2</v>
      </c>
      <c r="R26" s="86">
        <v>1</v>
      </c>
      <c r="S26" s="86" t="s">
        <v>253</v>
      </c>
      <c r="T26" s="5" t="s">
        <v>71</v>
      </c>
      <c r="U26" s="5" t="s">
        <v>165</v>
      </c>
      <c r="V26" s="5" t="s">
        <v>78</v>
      </c>
      <c r="W26" s="5" t="s">
        <v>559</v>
      </c>
      <c r="X26" s="5" t="s">
        <v>82</v>
      </c>
      <c r="Y26" s="5" t="s">
        <v>373</v>
      </c>
      <c r="Z26" s="8" t="s">
        <v>76</v>
      </c>
      <c r="AA26" s="12">
        <v>45363</v>
      </c>
      <c r="AB26" s="80">
        <f>37+2/7</f>
        <v>37.285714285714285</v>
      </c>
      <c r="AC26" s="5"/>
      <c r="AD26" s="5" t="s">
        <v>207</v>
      </c>
      <c r="AE26" s="15">
        <f t="shared" si="0"/>
        <v>36</v>
      </c>
      <c r="AF26" s="15">
        <v>0</v>
      </c>
      <c r="AG26" s="5"/>
      <c r="AH26" s="5" t="s">
        <v>71</v>
      </c>
      <c r="AI26" s="5" t="s">
        <v>94</v>
      </c>
      <c r="AJ26" s="5" t="s">
        <v>82</v>
      </c>
      <c r="AK26" s="5" t="s">
        <v>83</v>
      </c>
      <c r="AL26" s="5" t="s">
        <v>207</v>
      </c>
      <c r="AM26" s="80">
        <f>37+3/7</f>
        <v>37.428571428571431</v>
      </c>
      <c r="AN26" s="5" t="s">
        <v>319</v>
      </c>
    </row>
    <row r="27" spans="1:40" ht="30" x14ac:dyDescent="0.25">
      <c r="A27" s="59">
        <v>489542</v>
      </c>
      <c r="B27" s="59" t="s">
        <v>3</v>
      </c>
      <c r="C27" s="8" t="s">
        <v>5</v>
      </c>
      <c r="D27" s="84">
        <v>45400</v>
      </c>
      <c r="E27" s="84">
        <v>45576</v>
      </c>
      <c r="F27" s="8" t="s">
        <v>77</v>
      </c>
      <c r="G27" s="84">
        <v>33925</v>
      </c>
      <c r="H27" s="21">
        <f t="shared" si="1"/>
        <v>31</v>
      </c>
      <c r="I27" s="8">
        <v>1</v>
      </c>
      <c r="J27" s="8">
        <v>42</v>
      </c>
      <c r="K27" s="8" t="s">
        <v>30</v>
      </c>
      <c r="L27" s="8" t="s">
        <v>78</v>
      </c>
      <c r="M27" s="46" t="s">
        <v>546</v>
      </c>
      <c r="N27" s="46"/>
      <c r="O27" s="8"/>
      <c r="P27" s="81">
        <v>27</v>
      </c>
      <c r="Q27" s="8">
        <v>3</v>
      </c>
      <c r="R27" s="8">
        <v>0</v>
      </c>
      <c r="S27" s="8" t="s">
        <v>98</v>
      </c>
      <c r="T27" s="6" t="s">
        <v>71</v>
      </c>
      <c r="U27" s="6" t="s">
        <v>95</v>
      </c>
      <c r="V27" s="6" t="s">
        <v>78</v>
      </c>
      <c r="W27" s="13" t="s">
        <v>558</v>
      </c>
      <c r="X27" s="6" t="s">
        <v>82</v>
      </c>
      <c r="Y27" s="5" t="s">
        <v>373</v>
      </c>
      <c r="Z27" s="8" t="s">
        <v>39</v>
      </c>
      <c r="AA27" s="12">
        <v>45657</v>
      </c>
      <c r="AB27" s="80">
        <f>38+5/7</f>
        <v>38.714285714285715</v>
      </c>
      <c r="AC27" s="5"/>
      <c r="AD27" s="27" t="s">
        <v>282</v>
      </c>
      <c r="AE27" s="15">
        <f t="shared" si="0"/>
        <v>81</v>
      </c>
      <c r="AF27" s="15">
        <v>1</v>
      </c>
      <c r="AG27" s="13" t="s">
        <v>99</v>
      </c>
      <c r="AH27" s="6" t="s">
        <v>80</v>
      </c>
      <c r="AI27" s="13" t="s">
        <v>173</v>
      </c>
      <c r="AJ27" s="6" t="s">
        <v>82</v>
      </c>
      <c r="AK27" s="6" t="s">
        <v>83</v>
      </c>
      <c r="AL27" s="5" t="s">
        <v>260</v>
      </c>
      <c r="AM27" s="80">
        <f>38+5/7</f>
        <v>38.714285714285715</v>
      </c>
      <c r="AN27" s="5" t="s">
        <v>260</v>
      </c>
    </row>
    <row r="28" spans="1:40" ht="30" x14ac:dyDescent="0.25">
      <c r="A28" s="60">
        <v>492686</v>
      </c>
      <c r="B28" s="6" t="s">
        <v>7</v>
      </c>
      <c r="C28" s="8" t="s">
        <v>5</v>
      </c>
      <c r="D28" s="84">
        <v>45269</v>
      </c>
      <c r="E28" s="84">
        <v>45467</v>
      </c>
      <c r="F28" s="8" t="s">
        <v>77</v>
      </c>
      <c r="G28" s="84">
        <v>33111</v>
      </c>
      <c r="H28" s="21">
        <f t="shared" si="1"/>
        <v>33</v>
      </c>
      <c r="I28" s="8">
        <v>1</v>
      </c>
      <c r="J28" s="8">
        <v>32</v>
      </c>
      <c r="K28" s="8" t="s">
        <v>135</v>
      </c>
      <c r="L28" s="8" t="s">
        <v>78</v>
      </c>
      <c r="M28" s="46" t="s">
        <v>4</v>
      </c>
      <c r="N28" s="8" t="s">
        <v>92</v>
      </c>
      <c r="O28" s="8"/>
      <c r="P28" s="81">
        <f>29+6/7</f>
        <v>29.857142857142858</v>
      </c>
      <c r="Q28" s="8">
        <v>2</v>
      </c>
      <c r="R28" s="8">
        <v>1</v>
      </c>
      <c r="S28" s="8" t="s">
        <v>253</v>
      </c>
      <c r="T28" s="5" t="s">
        <v>80</v>
      </c>
      <c r="U28" s="5" t="s">
        <v>95</v>
      </c>
      <c r="V28" s="5" t="s">
        <v>78</v>
      </c>
      <c r="W28" s="13" t="s">
        <v>558</v>
      </c>
      <c r="X28" s="6" t="s">
        <v>82</v>
      </c>
      <c r="Y28" s="5" t="s">
        <v>373</v>
      </c>
      <c r="Z28" s="8" t="s">
        <v>5</v>
      </c>
      <c r="AA28" s="12">
        <v>45523</v>
      </c>
      <c r="AB28" s="80">
        <f>38+2/7</f>
        <v>38.285714285714285</v>
      </c>
      <c r="AC28" s="5"/>
      <c r="AD28" s="5" t="s">
        <v>207</v>
      </c>
      <c r="AE28" s="15">
        <f t="shared" si="0"/>
        <v>56</v>
      </c>
      <c r="AF28" s="15">
        <v>0</v>
      </c>
      <c r="AG28" s="5" t="s">
        <v>252</v>
      </c>
      <c r="AH28" s="5" t="s">
        <v>80</v>
      </c>
      <c r="AI28" s="13" t="s">
        <v>173</v>
      </c>
      <c r="AJ28" s="5" t="s">
        <v>82</v>
      </c>
      <c r="AK28" s="6" t="s">
        <v>83</v>
      </c>
      <c r="AL28" s="5" t="s">
        <v>207</v>
      </c>
      <c r="AM28" s="80">
        <f>38+3/7</f>
        <v>38.428571428571431</v>
      </c>
      <c r="AN28" s="5" t="s">
        <v>4</v>
      </c>
    </row>
    <row r="29" spans="1:40" ht="45" x14ac:dyDescent="0.25">
      <c r="A29" s="60">
        <v>493806</v>
      </c>
      <c r="B29" s="58" t="s">
        <v>23</v>
      </c>
      <c r="C29" s="90" t="s">
        <v>76</v>
      </c>
      <c r="D29" s="87">
        <v>45259</v>
      </c>
      <c r="E29" s="87">
        <v>45459</v>
      </c>
      <c r="F29" s="86" t="s">
        <v>77</v>
      </c>
      <c r="G29" s="87">
        <v>32745</v>
      </c>
      <c r="H29" s="88">
        <f t="shared" si="1"/>
        <v>34</v>
      </c>
      <c r="I29" s="86">
        <v>3</v>
      </c>
      <c r="J29" s="86">
        <v>42</v>
      </c>
      <c r="K29" s="86" t="s">
        <v>30</v>
      </c>
      <c r="L29" s="86" t="s">
        <v>78</v>
      </c>
      <c r="M29" s="86" t="s">
        <v>76</v>
      </c>
      <c r="N29" s="86"/>
      <c r="O29" s="86" t="s">
        <v>397</v>
      </c>
      <c r="P29" s="89">
        <f>30+4/7</f>
        <v>30.571428571428573</v>
      </c>
      <c r="Q29" s="86">
        <v>3</v>
      </c>
      <c r="R29" s="86">
        <v>0</v>
      </c>
      <c r="S29" s="86">
        <v>1</v>
      </c>
      <c r="T29" s="5" t="s">
        <v>80</v>
      </c>
      <c r="U29" s="5" t="s">
        <v>165</v>
      </c>
      <c r="V29" s="5" t="s">
        <v>77</v>
      </c>
      <c r="W29" s="5" t="s">
        <v>559</v>
      </c>
      <c r="X29" s="5" t="s">
        <v>82</v>
      </c>
      <c r="Y29" s="5" t="s">
        <v>373</v>
      </c>
      <c r="Z29" s="8" t="s">
        <v>76</v>
      </c>
      <c r="AA29" s="12">
        <v>45480</v>
      </c>
      <c r="AB29" s="80">
        <f>33+1/7</f>
        <v>33.142857142857146</v>
      </c>
      <c r="AC29" s="5"/>
      <c r="AD29" s="13" t="s">
        <v>577</v>
      </c>
      <c r="AE29" s="15">
        <f t="shared" si="0"/>
        <v>21</v>
      </c>
      <c r="AF29" s="5">
        <v>2</v>
      </c>
      <c r="AG29" s="13" t="s">
        <v>439</v>
      </c>
      <c r="AH29" s="5" t="s">
        <v>80</v>
      </c>
      <c r="AI29" s="5" t="s">
        <v>94</v>
      </c>
      <c r="AJ29" s="5" t="s">
        <v>82</v>
      </c>
      <c r="AK29" s="5" t="s">
        <v>423</v>
      </c>
      <c r="AL29" s="5" t="s">
        <v>134</v>
      </c>
      <c r="AM29" s="80">
        <f>34+5/7</f>
        <v>34.714285714285715</v>
      </c>
      <c r="AN29" s="5"/>
    </row>
    <row r="30" spans="1:40" ht="30" x14ac:dyDescent="0.25">
      <c r="A30" s="57">
        <v>497026</v>
      </c>
      <c r="B30" s="58" t="s">
        <v>23</v>
      </c>
      <c r="C30" s="8" t="s">
        <v>39</v>
      </c>
      <c r="D30" s="84">
        <v>45240</v>
      </c>
      <c r="E30" s="84">
        <v>45428</v>
      </c>
      <c r="F30" s="8" t="s">
        <v>77</v>
      </c>
      <c r="G30" s="84">
        <v>30198</v>
      </c>
      <c r="H30" s="21">
        <f t="shared" si="1"/>
        <v>41</v>
      </c>
      <c r="I30" s="8">
        <v>1</v>
      </c>
      <c r="J30" s="8">
        <v>33</v>
      </c>
      <c r="K30" s="8" t="s">
        <v>30</v>
      </c>
      <c r="L30" s="8" t="s">
        <v>78</v>
      </c>
      <c r="M30" s="8"/>
      <c r="N30" s="8" t="s">
        <v>92</v>
      </c>
      <c r="O30" s="46"/>
      <c r="P30" s="81">
        <f>28+6/7</f>
        <v>28.857142857142858</v>
      </c>
      <c r="Q30" s="8">
        <v>2</v>
      </c>
      <c r="R30" s="8">
        <v>0</v>
      </c>
      <c r="S30" s="8">
        <v>1</v>
      </c>
      <c r="T30" s="5" t="s">
        <v>80</v>
      </c>
      <c r="U30" s="5" t="s">
        <v>95</v>
      </c>
      <c r="V30" s="5" t="s">
        <v>77</v>
      </c>
      <c r="W30" s="5" t="s">
        <v>559</v>
      </c>
      <c r="X30" s="5" t="s">
        <v>411</v>
      </c>
      <c r="Y30" s="5" t="s">
        <v>373</v>
      </c>
      <c r="Z30" s="8" t="s">
        <v>39</v>
      </c>
      <c r="AA30" s="12">
        <v>45439</v>
      </c>
      <c r="AB30" s="80">
        <f>30+3/7</f>
        <v>30.428571428571427</v>
      </c>
      <c r="AC30" s="5"/>
      <c r="AD30" s="13" t="s">
        <v>568</v>
      </c>
      <c r="AE30" s="15">
        <f t="shared" si="0"/>
        <v>11</v>
      </c>
      <c r="AF30" s="5">
        <v>1</v>
      </c>
      <c r="AG30" s="13" t="s">
        <v>409</v>
      </c>
      <c r="AH30" s="5" t="s">
        <v>80</v>
      </c>
      <c r="AI30" s="5" t="s">
        <v>334</v>
      </c>
      <c r="AJ30" s="5" t="s">
        <v>175</v>
      </c>
      <c r="AK30" s="5" t="s">
        <v>373</v>
      </c>
      <c r="AL30" s="5" t="s">
        <v>134</v>
      </c>
      <c r="AM30" s="80">
        <f>31+4/7</f>
        <v>31.571428571428573</v>
      </c>
      <c r="AN30" s="6"/>
    </row>
    <row r="31" spans="1:40" x14ac:dyDescent="0.25">
      <c r="A31" s="57">
        <v>508218</v>
      </c>
      <c r="B31" s="58" t="s">
        <v>8</v>
      </c>
      <c r="C31" s="86" t="s">
        <v>76</v>
      </c>
      <c r="D31" s="87">
        <v>45293</v>
      </c>
      <c r="E31" s="87">
        <v>45491</v>
      </c>
      <c r="F31" s="86" t="s">
        <v>77</v>
      </c>
      <c r="G31" s="87">
        <v>35909</v>
      </c>
      <c r="H31" s="88">
        <f t="shared" si="1"/>
        <v>25</v>
      </c>
      <c r="I31" s="86">
        <v>0</v>
      </c>
      <c r="J31" s="86">
        <v>47</v>
      </c>
      <c r="K31" s="86" t="s">
        <v>30</v>
      </c>
      <c r="L31" s="86" t="s">
        <v>78</v>
      </c>
      <c r="M31" s="90" t="s">
        <v>369</v>
      </c>
      <c r="N31" s="86" t="s">
        <v>92</v>
      </c>
      <c r="O31" s="86"/>
      <c r="P31" s="89">
        <f>30+2/7</f>
        <v>30.285714285714285</v>
      </c>
      <c r="Q31" s="86">
        <v>2</v>
      </c>
      <c r="R31" s="86">
        <v>0</v>
      </c>
      <c r="S31" s="86">
        <v>1</v>
      </c>
      <c r="T31" s="5" t="s">
        <v>80</v>
      </c>
      <c r="U31" s="6" t="s">
        <v>165</v>
      </c>
      <c r="V31" s="5" t="s">
        <v>78</v>
      </c>
      <c r="W31" s="5" t="s">
        <v>559</v>
      </c>
      <c r="X31" s="5" t="s">
        <v>82</v>
      </c>
      <c r="Y31" s="5" t="s">
        <v>351</v>
      </c>
      <c r="Z31" s="8" t="s">
        <v>76</v>
      </c>
      <c r="AA31" s="12">
        <v>45550</v>
      </c>
      <c r="AB31" s="80">
        <f>38+5/7</f>
        <v>38.714285714285715</v>
      </c>
      <c r="AC31" s="5"/>
      <c r="AD31" s="5" t="s">
        <v>367</v>
      </c>
      <c r="AE31" s="15">
        <f t="shared" si="0"/>
        <v>59</v>
      </c>
      <c r="AF31" s="5">
        <v>0</v>
      </c>
      <c r="AG31" s="5"/>
      <c r="AH31" s="5" t="s">
        <v>80</v>
      </c>
      <c r="AI31" s="5" t="s">
        <v>94</v>
      </c>
      <c r="AJ31" s="5" t="s">
        <v>82</v>
      </c>
      <c r="AK31" s="5" t="s">
        <v>351</v>
      </c>
      <c r="AL31" s="5" t="s">
        <v>207</v>
      </c>
      <c r="AM31" s="80">
        <v>39</v>
      </c>
      <c r="AN31" s="5" t="s">
        <v>368</v>
      </c>
    </row>
    <row r="32" spans="1:40" x14ac:dyDescent="0.25">
      <c r="A32" s="57">
        <v>509004</v>
      </c>
      <c r="B32" s="58" t="s">
        <v>8</v>
      </c>
      <c r="C32" s="8" t="s">
        <v>39</v>
      </c>
      <c r="D32" s="84">
        <v>45040</v>
      </c>
      <c r="E32" s="84">
        <v>45246</v>
      </c>
      <c r="F32" s="8" t="s">
        <v>77</v>
      </c>
      <c r="G32" s="84">
        <v>36401</v>
      </c>
      <c r="H32" s="21">
        <f t="shared" si="1"/>
        <v>23</v>
      </c>
      <c r="I32" s="8">
        <v>0</v>
      </c>
      <c r="J32" s="8">
        <v>40</v>
      </c>
      <c r="K32" s="8" t="s">
        <v>30</v>
      </c>
      <c r="L32" s="8" t="s">
        <v>78</v>
      </c>
      <c r="M32" s="8"/>
      <c r="N32" s="8" t="s">
        <v>92</v>
      </c>
      <c r="O32" s="8"/>
      <c r="P32" s="81">
        <f>31+1/7</f>
        <v>31.142857142857142</v>
      </c>
      <c r="Q32" s="8">
        <v>2</v>
      </c>
      <c r="R32" s="8">
        <v>0</v>
      </c>
      <c r="S32" s="8">
        <v>1</v>
      </c>
      <c r="T32" s="5" t="s">
        <v>80</v>
      </c>
      <c r="U32" s="5" t="s">
        <v>95</v>
      </c>
      <c r="V32" s="5" t="s">
        <v>78</v>
      </c>
      <c r="W32" s="5" t="s">
        <v>559</v>
      </c>
      <c r="X32" s="5" t="s">
        <v>82</v>
      </c>
      <c r="Y32" s="5" t="s">
        <v>351</v>
      </c>
      <c r="Z32" s="8" t="s">
        <v>39</v>
      </c>
      <c r="AA32" s="12">
        <v>45300</v>
      </c>
      <c r="AB32" s="80">
        <f>38+3/7</f>
        <v>38.428571428571431</v>
      </c>
      <c r="AC32" s="5"/>
      <c r="AD32" s="5" t="s">
        <v>367</v>
      </c>
      <c r="AE32" s="15">
        <f t="shared" si="0"/>
        <v>54</v>
      </c>
      <c r="AF32" s="5">
        <v>0</v>
      </c>
      <c r="AG32" s="5"/>
      <c r="AH32" s="5" t="s">
        <v>71</v>
      </c>
      <c r="AI32" s="5" t="s">
        <v>94</v>
      </c>
      <c r="AJ32" s="5" t="s">
        <v>82</v>
      </c>
      <c r="AK32" s="5" t="s">
        <v>351</v>
      </c>
      <c r="AL32" s="5" t="s">
        <v>207</v>
      </c>
      <c r="AM32" s="80">
        <f>38+4/7</f>
        <v>38.571428571428569</v>
      </c>
      <c r="AN32" s="5" t="s">
        <v>368</v>
      </c>
    </row>
    <row r="33" spans="1:40" x14ac:dyDescent="0.25">
      <c r="A33" s="57">
        <v>509494</v>
      </c>
      <c r="B33" s="58" t="s">
        <v>8</v>
      </c>
      <c r="C33" s="86" t="s">
        <v>76</v>
      </c>
      <c r="D33" s="87">
        <v>45057</v>
      </c>
      <c r="E33" s="87">
        <v>45239</v>
      </c>
      <c r="F33" s="86" t="s">
        <v>77</v>
      </c>
      <c r="G33" s="87">
        <v>35368</v>
      </c>
      <c r="H33" s="88">
        <f t="shared" si="1"/>
        <v>26</v>
      </c>
      <c r="I33" s="86">
        <v>0</v>
      </c>
      <c r="J33" s="86">
        <v>23</v>
      </c>
      <c r="K33" s="86" t="s">
        <v>30</v>
      </c>
      <c r="L33" s="86" t="s">
        <v>78</v>
      </c>
      <c r="M33" s="86"/>
      <c r="N33" s="86" t="s">
        <v>154</v>
      </c>
      <c r="O33" s="86"/>
      <c r="P33" s="89">
        <f>29+1/7</f>
        <v>29.142857142857142</v>
      </c>
      <c r="Q33" s="86">
        <v>2</v>
      </c>
      <c r="R33" s="86">
        <v>0</v>
      </c>
      <c r="S33" s="86">
        <v>1</v>
      </c>
      <c r="T33" s="5" t="s">
        <v>80</v>
      </c>
      <c r="U33" s="5" t="s">
        <v>165</v>
      </c>
      <c r="V33" s="5" t="s">
        <v>78</v>
      </c>
      <c r="W33" s="5" t="s">
        <v>559</v>
      </c>
      <c r="X33" s="5" t="s">
        <v>82</v>
      </c>
      <c r="Y33" s="5" t="s">
        <v>351</v>
      </c>
      <c r="Z33" s="8" t="s">
        <v>76</v>
      </c>
      <c r="AA33" s="12">
        <v>45314</v>
      </c>
      <c r="AB33" s="80">
        <f>38+6/7</f>
        <v>38.857142857142854</v>
      </c>
      <c r="AC33" s="5"/>
      <c r="AD33" s="5" t="s">
        <v>207</v>
      </c>
      <c r="AE33" s="15">
        <f t="shared" si="0"/>
        <v>75</v>
      </c>
      <c r="AF33" s="5">
        <v>0</v>
      </c>
      <c r="AG33" s="5"/>
      <c r="AH33" s="5" t="s">
        <v>80</v>
      </c>
      <c r="AI33" s="5" t="s">
        <v>383</v>
      </c>
      <c r="AJ33" s="5" t="s">
        <v>82</v>
      </c>
      <c r="AK33" s="5" t="s">
        <v>351</v>
      </c>
      <c r="AL33" s="5" t="s">
        <v>207</v>
      </c>
      <c r="AM33" s="80">
        <v>39</v>
      </c>
      <c r="AN33" s="5" t="s">
        <v>382</v>
      </c>
    </row>
    <row r="34" spans="1:40" ht="45" x14ac:dyDescent="0.25">
      <c r="A34" s="62">
        <v>509863</v>
      </c>
      <c r="B34" s="58" t="s">
        <v>23</v>
      </c>
      <c r="C34" s="46" t="s">
        <v>39</v>
      </c>
      <c r="D34" s="84">
        <v>45082</v>
      </c>
      <c r="E34" s="84">
        <v>45286</v>
      </c>
      <c r="F34" s="8" t="s">
        <v>77</v>
      </c>
      <c r="G34" s="84">
        <v>32508</v>
      </c>
      <c r="H34" s="21">
        <f t="shared" si="1"/>
        <v>34</v>
      </c>
      <c r="I34" s="8">
        <v>2</v>
      </c>
      <c r="J34" s="8">
        <v>35</v>
      </c>
      <c r="K34" s="8" t="s">
        <v>30</v>
      </c>
      <c r="L34" s="8" t="s">
        <v>78</v>
      </c>
      <c r="M34" s="8"/>
      <c r="N34" s="8" t="s">
        <v>92</v>
      </c>
      <c r="O34" s="8"/>
      <c r="P34" s="81">
        <f>31+1/7</f>
        <v>31.142857142857142</v>
      </c>
      <c r="Q34" s="8">
        <v>2</v>
      </c>
      <c r="R34" s="8">
        <v>0</v>
      </c>
      <c r="S34" s="8">
        <v>1</v>
      </c>
      <c r="T34" s="5" t="s">
        <v>80</v>
      </c>
      <c r="U34" s="5" t="s">
        <v>95</v>
      </c>
      <c r="V34" s="5" t="s">
        <v>78</v>
      </c>
      <c r="W34" s="5" t="s">
        <v>559</v>
      </c>
      <c r="X34" s="5" t="s">
        <v>82</v>
      </c>
      <c r="Y34" s="5" t="s">
        <v>373</v>
      </c>
      <c r="Z34" s="8" t="s">
        <v>39</v>
      </c>
      <c r="AA34" s="12">
        <v>45335</v>
      </c>
      <c r="AB34" s="80">
        <f>38+1/7</f>
        <v>38.142857142857146</v>
      </c>
      <c r="AC34" s="5"/>
      <c r="AD34" s="13" t="s">
        <v>402</v>
      </c>
      <c r="AE34" s="15">
        <f t="shared" ref="AE34:AE65" si="2">DATEDIF(E34,AA34,"D")</f>
        <v>49</v>
      </c>
      <c r="AF34" s="5">
        <v>1</v>
      </c>
      <c r="AG34" s="13" t="s">
        <v>414</v>
      </c>
      <c r="AH34" s="5" t="s">
        <v>80</v>
      </c>
      <c r="AI34" s="5" t="s">
        <v>210</v>
      </c>
      <c r="AJ34" s="5" t="s">
        <v>82</v>
      </c>
      <c r="AK34" s="5" t="s">
        <v>373</v>
      </c>
      <c r="AL34" s="6" t="s">
        <v>413</v>
      </c>
      <c r="AM34" s="83">
        <f>38+4/7</f>
        <v>38.571428571428569</v>
      </c>
      <c r="AN34" s="6" t="s">
        <v>134</v>
      </c>
    </row>
    <row r="35" spans="1:40" ht="90" x14ac:dyDescent="0.25">
      <c r="A35" s="57">
        <v>511597</v>
      </c>
      <c r="B35" s="58" t="s">
        <v>23</v>
      </c>
      <c r="C35" s="8" t="s">
        <v>39</v>
      </c>
      <c r="D35" s="84">
        <v>45085</v>
      </c>
      <c r="E35" s="84">
        <v>45272</v>
      </c>
      <c r="F35" s="8" t="s">
        <v>77</v>
      </c>
      <c r="G35" s="84">
        <v>31284</v>
      </c>
      <c r="H35" s="21">
        <f t="shared" si="1"/>
        <v>37</v>
      </c>
      <c r="I35" s="8">
        <v>4</v>
      </c>
      <c r="J35" s="8">
        <v>40</v>
      </c>
      <c r="K35" s="8" t="s">
        <v>30</v>
      </c>
      <c r="L35" s="8" t="s">
        <v>78</v>
      </c>
      <c r="M35" s="8" t="s">
        <v>545</v>
      </c>
      <c r="N35" s="8" t="s">
        <v>92</v>
      </c>
      <c r="O35" s="8"/>
      <c r="P35" s="81">
        <f>28+5/7</f>
        <v>28.714285714285715</v>
      </c>
      <c r="Q35" s="8">
        <v>3</v>
      </c>
      <c r="R35" s="8">
        <v>0</v>
      </c>
      <c r="S35" s="8">
        <v>1</v>
      </c>
      <c r="T35" s="5" t="s">
        <v>80</v>
      </c>
      <c r="U35" s="5" t="s">
        <v>95</v>
      </c>
      <c r="V35" s="5" t="s">
        <v>78</v>
      </c>
      <c r="W35" s="5" t="s">
        <v>559</v>
      </c>
      <c r="X35" s="5" t="s">
        <v>82</v>
      </c>
      <c r="Y35" s="5" t="s">
        <v>373</v>
      </c>
      <c r="Z35" s="8" t="s">
        <v>39</v>
      </c>
      <c r="AA35" s="12">
        <v>45323</v>
      </c>
      <c r="AB35" s="80">
        <v>36</v>
      </c>
      <c r="AC35" s="5"/>
      <c r="AD35" s="6" t="s">
        <v>208</v>
      </c>
      <c r="AE35" s="15">
        <f t="shared" si="2"/>
        <v>51</v>
      </c>
      <c r="AF35" s="6">
        <v>2</v>
      </c>
      <c r="AG35" s="13" t="s">
        <v>508</v>
      </c>
      <c r="AH35" s="5" t="s">
        <v>84</v>
      </c>
      <c r="AI35" s="13" t="s">
        <v>451</v>
      </c>
      <c r="AJ35" s="5" t="s">
        <v>82</v>
      </c>
      <c r="AK35" s="5" t="s">
        <v>373</v>
      </c>
      <c r="AL35" s="6" t="s">
        <v>208</v>
      </c>
      <c r="AM35" s="83">
        <v>36</v>
      </c>
      <c r="AN35" s="6" t="s">
        <v>208</v>
      </c>
    </row>
    <row r="36" spans="1:40" x14ac:dyDescent="0.25">
      <c r="A36" s="57">
        <v>511761</v>
      </c>
      <c r="B36" s="58" t="s">
        <v>23</v>
      </c>
      <c r="C36" s="8" t="s">
        <v>39</v>
      </c>
      <c r="D36" s="84">
        <v>45162</v>
      </c>
      <c r="E36" s="84">
        <v>45349</v>
      </c>
      <c r="F36" s="8" t="s">
        <v>77</v>
      </c>
      <c r="G36" s="84">
        <v>29932</v>
      </c>
      <c r="H36" s="21">
        <f t="shared" si="1"/>
        <v>41</v>
      </c>
      <c r="I36" s="8">
        <v>5</v>
      </c>
      <c r="J36" s="8">
        <v>28</v>
      </c>
      <c r="K36" s="8" t="s">
        <v>30</v>
      </c>
      <c r="L36" s="8" t="s">
        <v>78</v>
      </c>
      <c r="M36" s="8" t="s">
        <v>4</v>
      </c>
      <c r="N36" s="8" t="s">
        <v>92</v>
      </c>
      <c r="O36" s="8"/>
      <c r="P36" s="81">
        <f>28+5/7</f>
        <v>28.714285714285715</v>
      </c>
      <c r="Q36" s="8">
        <v>2</v>
      </c>
      <c r="R36" s="8">
        <v>0</v>
      </c>
      <c r="S36" s="8">
        <v>1</v>
      </c>
      <c r="T36" s="5" t="s">
        <v>80</v>
      </c>
      <c r="U36" s="5" t="s">
        <v>95</v>
      </c>
      <c r="V36" s="5" t="s">
        <v>78</v>
      </c>
      <c r="W36" s="5" t="s">
        <v>559</v>
      </c>
      <c r="X36" s="5" t="s">
        <v>82</v>
      </c>
      <c r="Y36" s="5" t="s">
        <v>373</v>
      </c>
      <c r="Z36" s="8" t="s">
        <v>39</v>
      </c>
      <c r="AA36" s="12">
        <v>45419</v>
      </c>
      <c r="AB36" s="80">
        <f>38+5/7</f>
        <v>38.714285714285715</v>
      </c>
      <c r="AC36" s="5"/>
      <c r="AD36" s="5" t="s">
        <v>207</v>
      </c>
      <c r="AE36" s="15">
        <f t="shared" si="2"/>
        <v>70</v>
      </c>
      <c r="AF36" s="5">
        <v>0</v>
      </c>
      <c r="AG36" s="5"/>
      <c r="AH36" s="5" t="s">
        <v>71</v>
      </c>
      <c r="AI36" s="13" t="s">
        <v>107</v>
      </c>
      <c r="AJ36" s="5" t="s">
        <v>82</v>
      </c>
      <c r="AK36" s="5" t="s">
        <v>373</v>
      </c>
      <c r="AL36" s="5" t="s">
        <v>207</v>
      </c>
      <c r="AM36" s="80">
        <v>39</v>
      </c>
      <c r="AN36" s="5" t="s">
        <v>71</v>
      </c>
    </row>
    <row r="37" spans="1:40" ht="30" x14ac:dyDescent="0.25">
      <c r="A37" s="57">
        <v>511909</v>
      </c>
      <c r="B37" s="58" t="s">
        <v>8</v>
      </c>
      <c r="C37" s="8" t="s">
        <v>5</v>
      </c>
      <c r="D37" s="84">
        <v>45123</v>
      </c>
      <c r="E37" s="84">
        <v>45307</v>
      </c>
      <c r="F37" s="8" t="s">
        <v>77</v>
      </c>
      <c r="G37" s="84">
        <v>32794</v>
      </c>
      <c r="H37" s="21">
        <f t="shared" si="1"/>
        <v>33</v>
      </c>
      <c r="I37" s="8">
        <v>1</v>
      </c>
      <c r="J37" s="8">
        <v>40</v>
      </c>
      <c r="K37" s="8" t="s">
        <v>30</v>
      </c>
      <c r="L37" s="8" t="s">
        <v>78</v>
      </c>
      <c r="M37" s="8" t="s">
        <v>4</v>
      </c>
      <c r="N37" s="8"/>
      <c r="O37" s="8"/>
      <c r="P37" s="81">
        <f>28+4/7</f>
        <v>28.571428571428573</v>
      </c>
      <c r="Q37" s="8">
        <v>2</v>
      </c>
      <c r="R37" s="8">
        <v>0</v>
      </c>
      <c r="S37" s="8">
        <v>1</v>
      </c>
      <c r="T37" s="5" t="s">
        <v>80</v>
      </c>
      <c r="U37" s="5" t="s">
        <v>95</v>
      </c>
      <c r="V37" s="5" t="s">
        <v>78</v>
      </c>
      <c r="W37" s="13" t="s">
        <v>558</v>
      </c>
      <c r="X37" s="5" t="s">
        <v>82</v>
      </c>
      <c r="Y37" s="5" t="s">
        <v>351</v>
      </c>
      <c r="Z37" s="8" t="s">
        <v>39</v>
      </c>
      <c r="AA37" s="12">
        <v>45380</v>
      </c>
      <c r="AB37" s="80">
        <f>40+2/7</f>
        <v>40.285714285714285</v>
      </c>
      <c r="AC37" s="5"/>
      <c r="AD37" s="5" t="s">
        <v>134</v>
      </c>
      <c r="AE37" s="15">
        <f t="shared" si="2"/>
        <v>73</v>
      </c>
      <c r="AF37" s="5">
        <v>0</v>
      </c>
      <c r="AG37" s="5"/>
      <c r="AH37" s="5" t="s">
        <v>80</v>
      </c>
      <c r="AI37" s="13" t="s">
        <v>357</v>
      </c>
      <c r="AJ37" s="5" t="s">
        <v>82</v>
      </c>
      <c r="AK37" s="5" t="s">
        <v>351</v>
      </c>
      <c r="AL37" s="5" t="s">
        <v>134</v>
      </c>
      <c r="AM37" s="80">
        <f>40+2/7</f>
        <v>40.285714285714285</v>
      </c>
      <c r="AN37" s="5"/>
    </row>
    <row r="38" spans="1:40" ht="45" x14ac:dyDescent="0.25">
      <c r="A38" s="61">
        <v>512431</v>
      </c>
      <c r="B38" s="6" t="s">
        <v>7</v>
      </c>
      <c r="C38" s="8" t="s">
        <v>5</v>
      </c>
      <c r="D38" s="84">
        <v>45056</v>
      </c>
      <c r="E38" s="84">
        <v>45268</v>
      </c>
      <c r="F38" s="8" t="s">
        <v>77</v>
      </c>
      <c r="G38" s="84">
        <v>34025</v>
      </c>
      <c r="H38" s="21">
        <f t="shared" si="1"/>
        <v>30</v>
      </c>
      <c r="I38" s="8">
        <v>3</v>
      </c>
      <c r="J38" s="8">
        <v>43</v>
      </c>
      <c r="K38" s="8" t="s">
        <v>30</v>
      </c>
      <c r="L38" s="8" t="s">
        <v>78</v>
      </c>
      <c r="M38" s="8"/>
      <c r="N38" s="8" t="s">
        <v>92</v>
      </c>
      <c r="O38" s="8"/>
      <c r="P38" s="81">
        <f>32+2/7</f>
        <v>32.285714285714285</v>
      </c>
      <c r="Q38" s="8">
        <v>2</v>
      </c>
      <c r="R38" s="8">
        <v>0</v>
      </c>
      <c r="S38" s="8" t="s">
        <v>100</v>
      </c>
      <c r="T38" s="6" t="s">
        <v>71</v>
      </c>
      <c r="U38" s="27" t="s">
        <v>557</v>
      </c>
      <c r="V38" s="6" t="s">
        <v>78</v>
      </c>
      <c r="W38" s="6" t="s">
        <v>110</v>
      </c>
      <c r="X38" s="6" t="s">
        <v>82</v>
      </c>
      <c r="Y38" s="6" t="s">
        <v>373</v>
      </c>
      <c r="Z38" s="8" t="s">
        <v>39</v>
      </c>
      <c r="AA38" s="100">
        <v>45344</v>
      </c>
      <c r="AB38" s="83">
        <f>38+4/7</f>
        <v>38.571428571428569</v>
      </c>
      <c r="AC38" s="6"/>
      <c r="AD38" s="6" t="s">
        <v>207</v>
      </c>
      <c r="AE38" s="44">
        <f t="shared" si="2"/>
        <v>76</v>
      </c>
      <c r="AF38" s="44">
        <v>0</v>
      </c>
      <c r="AG38" s="6"/>
      <c r="AH38" s="6" t="s">
        <v>80</v>
      </c>
      <c r="AI38" s="6" t="s">
        <v>551</v>
      </c>
      <c r="AJ38" s="6"/>
      <c r="AK38" s="6"/>
      <c r="AL38" s="6" t="s">
        <v>207</v>
      </c>
      <c r="AM38" s="83">
        <f>39</f>
        <v>39</v>
      </c>
      <c r="AN38" s="6" t="s">
        <v>92</v>
      </c>
    </row>
    <row r="39" spans="1:40" ht="30" x14ac:dyDescent="0.25">
      <c r="A39" s="59">
        <v>512723</v>
      </c>
      <c r="B39" s="59" t="s">
        <v>3</v>
      </c>
      <c r="C39" s="8" t="s">
        <v>5</v>
      </c>
      <c r="D39" s="84">
        <v>45080</v>
      </c>
      <c r="E39" s="84">
        <v>45278</v>
      </c>
      <c r="F39" s="8" t="s">
        <v>77</v>
      </c>
      <c r="G39" s="84">
        <v>31204</v>
      </c>
      <c r="H39" s="21">
        <f t="shared" ref="H39:H70" si="3">DATEDIF(G39,D39,"Y")</f>
        <v>37</v>
      </c>
      <c r="I39" s="8">
        <v>0</v>
      </c>
      <c r="J39" s="8">
        <v>25</v>
      </c>
      <c r="K39" s="8" t="s">
        <v>30</v>
      </c>
      <c r="L39" s="8" t="s">
        <v>78</v>
      </c>
      <c r="M39" s="46"/>
      <c r="N39" s="8" t="s">
        <v>536</v>
      </c>
      <c r="O39" s="8"/>
      <c r="P39" s="81">
        <f>30+2/7</f>
        <v>30.285714285714285</v>
      </c>
      <c r="Q39" s="8">
        <v>3</v>
      </c>
      <c r="R39" s="8">
        <v>0</v>
      </c>
      <c r="S39" s="8" t="s">
        <v>98</v>
      </c>
      <c r="T39" s="6" t="s">
        <v>80</v>
      </c>
      <c r="U39" s="6" t="s">
        <v>95</v>
      </c>
      <c r="V39" s="5" t="s">
        <v>78</v>
      </c>
      <c r="W39" s="13" t="s">
        <v>558</v>
      </c>
      <c r="X39" s="6" t="s">
        <v>82</v>
      </c>
      <c r="Y39" s="5" t="s">
        <v>373</v>
      </c>
      <c r="Z39" s="8" t="s">
        <v>39</v>
      </c>
      <c r="AA39" s="12">
        <v>45334</v>
      </c>
      <c r="AB39" s="80">
        <f>37+6/7</f>
        <v>37.857142857142854</v>
      </c>
      <c r="AC39" s="5"/>
      <c r="AD39" s="5" t="s">
        <v>207</v>
      </c>
      <c r="AE39" s="15">
        <f t="shared" si="2"/>
        <v>56</v>
      </c>
      <c r="AF39" s="15">
        <v>0</v>
      </c>
      <c r="AG39" s="5"/>
      <c r="AH39" s="6" t="s">
        <v>80</v>
      </c>
      <c r="AI39" s="13" t="s">
        <v>130</v>
      </c>
      <c r="AJ39" s="6" t="s">
        <v>82</v>
      </c>
      <c r="AK39" s="6" t="s">
        <v>83</v>
      </c>
      <c r="AL39" s="6" t="s">
        <v>207</v>
      </c>
      <c r="AM39" s="80">
        <v>38</v>
      </c>
      <c r="AN39" s="5" t="s">
        <v>269</v>
      </c>
    </row>
    <row r="40" spans="1:40" x14ac:dyDescent="0.25">
      <c r="A40" s="57">
        <v>513490</v>
      </c>
      <c r="B40" s="58" t="s">
        <v>23</v>
      </c>
      <c r="C40" s="8" t="s">
        <v>39</v>
      </c>
      <c r="D40" s="84">
        <v>45155</v>
      </c>
      <c r="E40" s="84">
        <v>45341</v>
      </c>
      <c r="F40" s="8" t="s">
        <v>77</v>
      </c>
      <c r="G40" s="84">
        <v>31300</v>
      </c>
      <c r="H40" s="21">
        <f t="shared" si="3"/>
        <v>37</v>
      </c>
      <c r="I40" s="8">
        <v>2</v>
      </c>
      <c r="J40" s="8">
        <v>30</v>
      </c>
      <c r="K40" s="8" t="s">
        <v>30</v>
      </c>
      <c r="L40" s="8" t="s">
        <v>78</v>
      </c>
      <c r="M40" s="46" t="s">
        <v>84</v>
      </c>
      <c r="N40" s="8" t="s">
        <v>154</v>
      </c>
      <c r="O40" s="8"/>
      <c r="P40" s="81">
        <f>28+4/7</f>
        <v>28.571428571428573</v>
      </c>
      <c r="Q40" s="8">
        <v>2</v>
      </c>
      <c r="R40" s="8">
        <v>0</v>
      </c>
      <c r="S40" s="8">
        <v>1</v>
      </c>
      <c r="T40" s="5" t="s">
        <v>80</v>
      </c>
      <c r="U40" s="5" t="s">
        <v>95</v>
      </c>
      <c r="V40" s="5" t="s">
        <v>78</v>
      </c>
      <c r="W40" s="5" t="s">
        <v>559</v>
      </c>
      <c r="X40" s="5" t="s">
        <v>82</v>
      </c>
      <c r="Y40" s="5" t="s">
        <v>373</v>
      </c>
      <c r="Z40" s="8" t="s">
        <v>39</v>
      </c>
      <c r="AA40" s="12">
        <v>45414</v>
      </c>
      <c r="AB40" s="80">
        <v>39</v>
      </c>
      <c r="AC40" s="5"/>
      <c r="AD40" s="5" t="s">
        <v>134</v>
      </c>
      <c r="AE40" s="15">
        <f t="shared" si="2"/>
        <v>73</v>
      </c>
      <c r="AF40" s="5">
        <v>0</v>
      </c>
      <c r="AG40" s="5"/>
      <c r="AH40" s="5" t="s">
        <v>80</v>
      </c>
      <c r="AI40" s="5" t="s">
        <v>334</v>
      </c>
      <c r="AJ40" s="5" t="s">
        <v>82</v>
      </c>
      <c r="AK40" s="5" t="s">
        <v>373</v>
      </c>
      <c r="AL40" s="5" t="s">
        <v>134</v>
      </c>
      <c r="AM40" s="80">
        <v>39</v>
      </c>
      <c r="AN40" s="5"/>
    </row>
    <row r="41" spans="1:40" ht="75" x14ac:dyDescent="0.25">
      <c r="A41" s="58">
        <v>513515</v>
      </c>
      <c r="B41" s="58" t="s">
        <v>8</v>
      </c>
      <c r="C41" s="86" t="s">
        <v>76</v>
      </c>
      <c r="D41" s="87">
        <v>45111</v>
      </c>
      <c r="E41" s="87">
        <v>45316</v>
      </c>
      <c r="F41" s="86" t="s">
        <v>77</v>
      </c>
      <c r="G41" s="87">
        <v>30922</v>
      </c>
      <c r="H41" s="88">
        <f t="shared" si="3"/>
        <v>38</v>
      </c>
      <c r="I41" s="91">
        <v>1</v>
      </c>
      <c r="J41" s="86">
        <v>28</v>
      </c>
      <c r="K41" s="86" t="s">
        <v>30</v>
      </c>
      <c r="L41" s="86" t="s">
        <v>78</v>
      </c>
      <c r="M41" s="90" t="s">
        <v>76</v>
      </c>
      <c r="N41" s="90" t="s">
        <v>181</v>
      </c>
      <c r="O41" s="90"/>
      <c r="P41" s="89">
        <f>29+3/7</f>
        <v>29.428571428571427</v>
      </c>
      <c r="Q41" s="86">
        <v>2</v>
      </c>
      <c r="R41" s="86">
        <v>0</v>
      </c>
      <c r="S41" s="86">
        <v>1</v>
      </c>
      <c r="T41" s="5" t="s">
        <v>80</v>
      </c>
      <c r="U41" s="5" t="s">
        <v>165</v>
      </c>
      <c r="V41" s="5" t="s">
        <v>78</v>
      </c>
      <c r="W41" s="5" t="s">
        <v>559</v>
      </c>
      <c r="X41" s="5" t="s">
        <v>82</v>
      </c>
      <c r="Y41" s="5" t="s">
        <v>351</v>
      </c>
      <c r="Z41" s="8" t="s">
        <v>76</v>
      </c>
      <c r="AA41" s="12">
        <v>45381</v>
      </c>
      <c r="AB41" s="80">
        <f>37+6/7</f>
        <v>37.857142857142854</v>
      </c>
      <c r="AC41" s="5"/>
      <c r="AD41" s="5" t="s">
        <v>207</v>
      </c>
      <c r="AE41" s="15">
        <f t="shared" si="2"/>
        <v>65</v>
      </c>
      <c r="AF41" s="5">
        <v>2</v>
      </c>
      <c r="AG41" s="13" t="s">
        <v>349</v>
      </c>
      <c r="AH41" s="5" t="s">
        <v>80</v>
      </c>
      <c r="AI41" s="13" t="s">
        <v>350</v>
      </c>
      <c r="AJ41" s="5" t="s">
        <v>82</v>
      </c>
      <c r="AK41" s="5" t="s">
        <v>351</v>
      </c>
      <c r="AL41" s="5" t="s">
        <v>207</v>
      </c>
      <c r="AM41" s="80">
        <v>38</v>
      </c>
      <c r="AN41" s="5" t="s">
        <v>346</v>
      </c>
    </row>
    <row r="42" spans="1:40" ht="30" x14ac:dyDescent="0.25">
      <c r="A42" s="62">
        <v>513523</v>
      </c>
      <c r="B42" s="58" t="s">
        <v>23</v>
      </c>
      <c r="C42" s="90" t="s">
        <v>76</v>
      </c>
      <c r="D42" s="87">
        <v>45171</v>
      </c>
      <c r="E42" s="87">
        <v>45412</v>
      </c>
      <c r="F42" s="86" t="s">
        <v>77</v>
      </c>
      <c r="G42" s="87">
        <v>29756</v>
      </c>
      <c r="H42" s="88">
        <f t="shared" si="3"/>
        <v>42</v>
      </c>
      <c r="I42" s="86">
        <v>2</v>
      </c>
      <c r="J42" s="86">
        <v>30</v>
      </c>
      <c r="K42" s="86" t="s">
        <v>30</v>
      </c>
      <c r="L42" s="86" t="s">
        <v>78</v>
      </c>
      <c r="M42" s="86"/>
      <c r="N42" s="86" t="s">
        <v>92</v>
      </c>
      <c r="O42" s="86"/>
      <c r="P42" s="89">
        <f>36+3/7</f>
        <v>36.428571428571431</v>
      </c>
      <c r="Q42" s="86">
        <v>2</v>
      </c>
      <c r="R42" s="86">
        <v>0</v>
      </c>
      <c r="S42" s="86">
        <v>1</v>
      </c>
      <c r="T42" s="5" t="s">
        <v>80</v>
      </c>
      <c r="U42" s="5" t="s">
        <v>165</v>
      </c>
      <c r="V42" s="5" t="s">
        <v>78</v>
      </c>
      <c r="W42" s="5" t="s">
        <v>559</v>
      </c>
      <c r="X42" s="5" t="s">
        <v>82</v>
      </c>
      <c r="Y42" s="5" t="s">
        <v>373</v>
      </c>
      <c r="Z42" s="8" t="s">
        <v>76</v>
      </c>
      <c r="AA42" s="12">
        <v>45426</v>
      </c>
      <c r="AB42" s="80">
        <f>38+3/7</f>
        <v>38.428571428571431</v>
      </c>
      <c r="AC42" s="5"/>
      <c r="AD42" s="13" t="s">
        <v>569</v>
      </c>
      <c r="AE42" s="15">
        <f t="shared" si="2"/>
        <v>14</v>
      </c>
      <c r="AF42" s="5">
        <v>1</v>
      </c>
      <c r="AG42" s="13" t="s">
        <v>400</v>
      </c>
      <c r="AH42" s="5" t="s">
        <v>80</v>
      </c>
      <c r="AI42" s="5" t="s">
        <v>210</v>
      </c>
      <c r="AJ42" s="5" t="s">
        <v>82</v>
      </c>
      <c r="AK42" s="5" t="s">
        <v>373</v>
      </c>
      <c r="AL42" s="5" t="s">
        <v>260</v>
      </c>
      <c r="AM42" s="80">
        <f>38+3/7</f>
        <v>38.428571428571431</v>
      </c>
      <c r="AN42" s="5" t="s">
        <v>260</v>
      </c>
    </row>
    <row r="43" spans="1:40" ht="30" x14ac:dyDescent="0.25">
      <c r="A43" s="57">
        <v>513779</v>
      </c>
      <c r="B43" s="58" t="s">
        <v>23</v>
      </c>
      <c r="C43" s="90" t="s">
        <v>76</v>
      </c>
      <c r="D43" s="87">
        <v>45111</v>
      </c>
      <c r="E43" s="87">
        <v>45294</v>
      </c>
      <c r="F43" s="86" t="s">
        <v>77</v>
      </c>
      <c r="G43" s="87">
        <v>35061</v>
      </c>
      <c r="H43" s="88">
        <f t="shared" si="3"/>
        <v>27</v>
      </c>
      <c r="I43" s="86">
        <v>0</v>
      </c>
      <c r="J43" s="86">
        <v>29</v>
      </c>
      <c r="K43" s="86" t="s">
        <v>30</v>
      </c>
      <c r="L43" s="86" t="s">
        <v>78</v>
      </c>
      <c r="M43" s="86"/>
      <c r="N43" s="86" t="s">
        <v>92</v>
      </c>
      <c r="O43" s="86"/>
      <c r="P43" s="89">
        <f>28+1/7</f>
        <v>28.142857142857142</v>
      </c>
      <c r="Q43" s="86">
        <v>3</v>
      </c>
      <c r="R43" s="86">
        <v>0</v>
      </c>
      <c r="S43" s="86">
        <v>1</v>
      </c>
      <c r="T43" s="5" t="s">
        <v>80</v>
      </c>
      <c r="U43" s="5" t="s">
        <v>165</v>
      </c>
      <c r="V43" s="5" t="s">
        <v>78</v>
      </c>
      <c r="W43" s="5" t="s">
        <v>559</v>
      </c>
      <c r="X43" s="5" t="s">
        <v>82</v>
      </c>
      <c r="Y43" s="5" t="s">
        <v>373</v>
      </c>
      <c r="Z43" s="8" t="s">
        <v>76</v>
      </c>
      <c r="AA43" s="12">
        <v>45356</v>
      </c>
      <c r="AB43" s="80">
        <v>37</v>
      </c>
      <c r="AC43" s="13" t="s">
        <v>220</v>
      </c>
      <c r="AD43" s="27" t="s">
        <v>282</v>
      </c>
      <c r="AE43" s="15">
        <f t="shared" si="2"/>
        <v>62</v>
      </c>
      <c r="AF43" s="5">
        <v>0</v>
      </c>
      <c r="AG43" s="5"/>
      <c r="AH43" s="5" t="s">
        <v>84</v>
      </c>
      <c r="AI43" s="5" t="s">
        <v>210</v>
      </c>
      <c r="AJ43" s="5" t="s">
        <v>82</v>
      </c>
      <c r="AK43" s="5" t="s">
        <v>435</v>
      </c>
      <c r="AL43" s="5" t="s">
        <v>84</v>
      </c>
      <c r="AM43" s="80">
        <f>37+2/7</f>
        <v>37.285714285714285</v>
      </c>
      <c r="AN43" s="5" t="s">
        <v>436</v>
      </c>
    </row>
    <row r="44" spans="1:40" ht="45" x14ac:dyDescent="0.25">
      <c r="A44" s="57">
        <v>513820</v>
      </c>
      <c r="B44" s="58" t="s">
        <v>8</v>
      </c>
      <c r="C44" s="8" t="s">
        <v>39</v>
      </c>
      <c r="D44" s="84">
        <v>45109</v>
      </c>
      <c r="E44" s="84">
        <v>45306</v>
      </c>
      <c r="F44" s="8" t="s">
        <v>77</v>
      </c>
      <c r="G44" s="84">
        <v>33965</v>
      </c>
      <c r="H44" s="21">
        <f t="shared" si="3"/>
        <v>30</v>
      </c>
      <c r="I44" s="8">
        <v>3</v>
      </c>
      <c r="J44" s="8">
        <v>24</v>
      </c>
      <c r="K44" s="8" t="s">
        <v>30</v>
      </c>
      <c r="L44" s="8" t="s">
        <v>78</v>
      </c>
      <c r="M44" s="8" t="s">
        <v>84</v>
      </c>
      <c r="N44" s="8"/>
      <c r="O44" s="8"/>
      <c r="P44" s="81">
        <f>30+1/7</f>
        <v>30.142857142857142</v>
      </c>
      <c r="Q44" s="8">
        <v>3</v>
      </c>
      <c r="R44" s="8">
        <v>0</v>
      </c>
      <c r="S44" s="8">
        <v>1</v>
      </c>
      <c r="T44" s="5" t="s">
        <v>80</v>
      </c>
      <c r="U44" s="5" t="s">
        <v>95</v>
      </c>
      <c r="V44" s="5" t="s">
        <v>78</v>
      </c>
      <c r="W44" s="5" t="s">
        <v>559</v>
      </c>
      <c r="X44" s="5" t="s">
        <v>376</v>
      </c>
      <c r="Y44" s="5" t="s">
        <v>373</v>
      </c>
      <c r="Z44" s="8" t="s">
        <v>39</v>
      </c>
      <c r="AA44" s="12">
        <v>45374</v>
      </c>
      <c r="AB44" s="80">
        <f>39+6/7</f>
        <v>39.857142857142854</v>
      </c>
      <c r="AC44" s="5"/>
      <c r="AD44" s="5" t="s">
        <v>134</v>
      </c>
      <c r="AE44" s="15">
        <f t="shared" si="2"/>
        <v>68</v>
      </c>
      <c r="AF44" s="5">
        <v>0</v>
      </c>
      <c r="AG44" s="5"/>
      <c r="AH44" s="5" t="s">
        <v>80</v>
      </c>
      <c r="AI44" s="5" t="s">
        <v>107</v>
      </c>
      <c r="AJ44" s="13" t="s">
        <v>379</v>
      </c>
      <c r="AK44" s="5" t="s">
        <v>373</v>
      </c>
      <c r="AL44" s="5" t="s">
        <v>134</v>
      </c>
      <c r="AM44" s="80">
        <f>39+6/7</f>
        <v>39.857142857142854</v>
      </c>
      <c r="AN44" s="5"/>
    </row>
    <row r="45" spans="1:40" ht="45" x14ac:dyDescent="0.25">
      <c r="A45" s="59">
        <v>514032</v>
      </c>
      <c r="B45" s="59" t="s">
        <v>3</v>
      </c>
      <c r="C45" s="51" t="s">
        <v>101</v>
      </c>
      <c r="D45" s="52">
        <v>45060</v>
      </c>
      <c r="E45" s="52">
        <v>45300</v>
      </c>
      <c r="F45" s="51" t="s">
        <v>77</v>
      </c>
      <c r="G45" s="52">
        <v>31755</v>
      </c>
      <c r="H45" s="39">
        <f t="shared" si="3"/>
        <v>36</v>
      </c>
      <c r="I45" s="51">
        <v>0</v>
      </c>
      <c r="J45" s="51">
        <v>26</v>
      </c>
      <c r="K45" s="51" t="s">
        <v>30</v>
      </c>
      <c r="L45" s="51" t="s">
        <v>78</v>
      </c>
      <c r="M45" s="51"/>
      <c r="N45" s="51" t="s">
        <v>92</v>
      </c>
      <c r="O45" s="51"/>
      <c r="P45" s="85">
        <f>36+2/7</f>
        <v>36.285714285714285</v>
      </c>
      <c r="Q45" s="51">
        <v>7</v>
      </c>
      <c r="R45" s="51">
        <v>0</v>
      </c>
      <c r="S45" s="51" t="s">
        <v>98</v>
      </c>
      <c r="T45" s="5" t="s">
        <v>80</v>
      </c>
      <c r="U45" s="5" t="s">
        <v>95</v>
      </c>
      <c r="V45" s="5" t="s">
        <v>77</v>
      </c>
      <c r="W45" s="13" t="s">
        <v>560</v>
      </c>
      <c r="X45" s="5" t="s">
        <v>82</v>
      </c>
      <c r="Y45" s="6" t="s">
        <v>105</v>
      </c>
      <c r="Z45" s="8" t="s">
        <v>127</v>
      </c>
      <c r="AA45" s="12">
        <v>45304</v>
      </c>
      <c r="AB45" s="80">
        <f>36+6/7</f>
        <v>36.857142857142854</v>
      </c>
      <c r="AC45" s="5"/>
      <c r="AD45" s="5" t="s">
        <v>207</v>
      </c>
      <c r="AE45" s="15">
        <f t="shared" si="2"/>
        <v>4</v>
      </c>
      <c r="AF45" s="15">
        <v>0</v>
      </c>
      <c r="AG45" s="5"/>
      <c r="AH45" s="5" t="s">
        <v>80</v>
      </c>
      <c r="AI45" s="13" t="s">
        <v>103</v>
      </c>
      <c r="AJ45" s="5" t="s">
        <v>82</v>
      </c>
      <c r="AK45" s="6" t="s">
        <v>106</v>
      </c>
      <c r="AL45" s="6" t="s">
        <v>207</v>
      </c>
      <c r="AM45" s="80">
        <v>37</v>
      </c>
      <c r="AN45" s="5" t="s">
        <v>4</v>
      </c>
    </row>
    <row r="46" spans="1:40" ht="120" x14ac:dyDescent="0.25">
      <c r="A46" s="57">
        <v>514329</v>
      </c>
      <c r="B46" s="58" t="s">
        <v>23</v>
      </c>
      <c r="C46" s="8" t="s">
        <v>39</v>
      </c>
      <c r="D46" s="84">
        <v>45191</v>
      </c>
      <c r="E46" s="84">
        <v>45373</v>
      </c>
      <c r="F46" s="8" t="s">
        <v>77</v>
      </c>
      <c r="G46" s="84">
        <v>30257</v>
      </c>
      <c r="H46" s="21">
        <f t="shared" si="3"/>
        <v>40</v>
      </c>
      <c r="I46" s="8">
        <v>3</v>
      </c>
      <c r="J46" s="8">
        <v>25</v>
      </c>
      <c r="K46" s="8" t="s">
        <v>30</v>
      </c>
      <c r="L46" s="8" t="s">
        <v>78</v>
      </c>
      <c r="M46" s="8"/>
      <c r="N46" s="8"/>
      <c r="O46" s="8"/>
      <c r="P46" s="81">
        <v>28</v>
      </c>
      <c r="Q46" s="8">
        <v>2</v>
      </c>
      <c r="R46" s="8">
        <v>0</v>
      </c>
      <c r="S46" s="8">
        <v>1</v>
      </c>
      <c r="T46" s="5" t="s">
        <v>80</v>
      </c>
      <c r="U46" s="5" t="s">
        <v>95</v>
      </c>
      <c r="V46" s="5" t="s">
        <v>78</v>
      </c>
      <c r="W46" s="5" t="s">
        <v>559</v>
      </c>
      <c r="X46" s="5" t="s">
        <v>82</v>
      </c>
      <c r="Y46" s="5" t="s">
        <v>373</v>
      </c>
      <c r="Z46" s="8" t="s">
        <v>39</v>
      </c>
      <c r="AA46" s="12">
        <v>45446</v>
      </c>
      <c r="AB46" s="80">
        <f>40+1/7</f>
        <v>40.142857142857146</v>
      </c>
      <c r="AC46" s="5"/>
      <c r="AD46" s="5" t="s">
        <v>207</v>
      </c>
      <c r="AE46" s="15">
        <f t="shared" si="2"/>
        <v>73</v>
      </c>
      <c r="AF46" s="5">
        <v>3</v>
      </c>
      <c r="AG46" s="13" t="s">
        <v>442</v>
      </c>
      <c r="AH46" s="5" t="s">
        <v>80</v>
      </c>
      <c r="AI46" s="13" t="s">
        <v>321</v>
      </c>
      <c r="AJ46" s="5" t="s">
        <v>82</v>
      </c>
      <c r="AK46" s="5" t="s">
        <v>373</v>
      </c>
      <c r="AL46" s="5" t="s">
        <v>207</v>
      </c>
      <c r="AM46" s="80">
        <f>40+1/7</f>
        <v>40.142857142857146</v>
      </c>
      <c r="AN46" s="5" t="s">
        <v>343</v>
      </c>
    </row>
    <row r="47" spans="1:40" x14ac:dyDescent="0.25">
      <c r="A47" s="57">
        <v>514559</v>
      </c>
      <c r="B47" s="58" t="s">
        <v>8</v>
      </c>
      <c r="C47" s="8" t="s">
        <v>39</v>
      </c>
      <c r="D47" s="84">
        <v>45162</v>
      </c>
      <c r="E47" s="84">
        <v>45344</v>
      </c>
      <c r="F47" s="8" t="s">
        <v>77</v>
      </c>
      <c r="G47" s="84">
        <v>33741</v>
      </c>
      <c r="H47" s="21">
        <f t="shared" si="3"/>
        <v>31</v>
      </c>
      <c r="I47" s="8">
        <v>0</v>
      </c>
      <c r="J47" s="8">
        <v>37</v>
      </c>
      <c r="K47" s="8" t="s">
        <v>30</v>
      </c>
      <c r="L47" s="8" t="s">
        <v>78</v>
      </c>
      <c r="M47" s="8"/>
      <c r="N47" s="8" t="s">
        <v>92</v>
      </c>
      <c r="O47" s="8"/>
      <c r="P47" s="81">
        <f>28</f>
        <v>28</v>
      </c>
      <c r="Q47" s="8">
        <v>2</v>
      </c>
      <c r="R47" s="8">
        <v>0</v>
      </c>
      <c r="S47" s="8">
        <v>1</v>
      </c>
      <c r="T47" s="5" t="s">
        <v>80</v>
      </c>
      <c r="U47" s="5" t="s">
        <v>95</v>
      </c>
      <c r="V47" s="5" t="s">
        <v>78</v>
      </c>
      <c r="W47" s="5" t="s">
        <v>559</v>
      </c>
      <c r="X47" s="5" t="s">
        <v>82</v>
      </c>
      <c r="Y47" s="5" t="s">
        <v>351</v>
      </c>
      <c r="Z47" s="8" t="s">
        <v>39</v>
      </c>
      <c r="AA47" s="12">
        <v>45419</v>
      </c>
      <c r="AB47" s="80">
        <f>38+5/7</f>
        <v>38.714285714285715</v>
      </c>
      <c r="AC47" s="5"/>
      <c r="AD47" s="5" t="s">
        <v>387</v>
      </c>
      <c r="AE47" s="15">
        <f t="shared" si="2"/>
        <v>75</v>
      </c>
      <c r="AF47" s="5">
        <v>0</v>
      </c>
      <c r="AG47" s="5"/>
      <c r="AH47" s="6" t="s">
        <v>71</v>
      </c>
      <c r="AI47" s="5" t="s">
        <v>388</v>
      </c>
      <c r="AJ47" s="5" t="s">
        <v>82</v>
      </c>
      <c r="AK47" s="5" t="s">
        <v>351</v>
      </c>
      <c r="AL47" s="5" t="s">
        <v>207</v>
      </c>
      <c r="AM47" s="80">
        <v>39</v>
      </c>
      <c r="AN47" s="5" t="s">
        <v>368</v>
      </c>
    </row>
    <row r="48" spans="1:40" x14ac:dyDescent="0.25">
      <c r="A48" s="57">
        <v>514593</v>
      </c>
      <c r="B48" s="58" t="s">
        <v>23</v>
      </c>
      <c r="C48" s="86" t="s">
        <v>76</v>
      </c>
      <c r="D48" s="87">
        <v>45107</v>
      </c>
      <c r="E48" s="87">
        <v>45351</v>
      </c>
      <c r="F48" s="86" t="s">
        <v>77</v>
      </c>
      <c r="G48" s="87">
        <v>31708</v>
      </c>
      <c r="H48" s="88">
        <f t="shared" si="3"/>
        <v>36</v>
      </c>
      <c r="I48" s="86">
        <v>1</v>
      </c>
      <c r="J48" s="86">
        <v>33</v>
      </c>
      <c r="K48" s="86" t="s">
        <v>30</v>
      </c>
      <c r="L48" s="86" t="s">
        <v>78</v>
      </c>
      <c r="M48" s="90" t="s">
        <v>76</v>
      </c>
      <c r="N48" s="86" t="s">
        <v>92</v>
      </c>
      <c r="O48" s="86"/>
      <c r="P48" s="89">
        <f>36+6/7</f>
        <v>36.857142857142854</v>
      </c>
      <c r="Q48" s="86">
        <v>3</v>
      </c>
      <c r="R48" s="86">
        <v>0</v>
      </c>
      <c r="S48" s="86">
        <v>1</v>
      </c>
      <c r="T48" s="5" t="s">
        <v>84</v>
      </c>
      <c r="U48" s="5" t="s">
        <v>165</v>
      </c>
      <c r="V48" s="5" t="s">
        <v>78</v>
      </c>
      <c r="W48" s="5" t="s">
        <v>559</v>
      </c>
      <c r="X48" s="5" t="s">
        <v>82</v>
      </c>
      <c r="Y48" s="5" t="s">
        <v>373</v>
      </c>
      <c r="Z48" s="8" t="s">
        <v>76</v>
      </c>
      <c r="AA48" s="12">
        <v>45364</v>
      </c>
      <c r="AB48" s="80">
        <f>38+6/7</f>
        <v>38.857142857142854</v>
      </c>
      <c r="AC48" s="5"/>
      <c r="AD48" s="5" t="s">
        <v>207</v>
      </c>
      <c r="AE48" s="15">
        <f t="shared" si="2"/>
        <v>13</v>
      </c>
      <c r="AF48" s="5">
        <v>0</v>
      </c>
      <c r="AG48" s="5"/>
      <c r="AH48" s="5" t="s">
        <v>84</v>
      </c>
      <c r="AI48" s="5" t="s">
        <v>210</v>
      </c>
      <c r="AJ48" s="5" t="s">
        <v>82</v>
      </c>
      <c r="AK48" s="5" t="s">
        <v>373</v>
      </c>
      <c r="AL48" s="5" t="s">
        <v>207</v>
      </c>
      <c r="AM48" s="80">
        <v>39</v>
      </c>
      <c r="AN48" s="5"/>
    </row>
    <row r="49" spans="1:40" ht="30" x14ac:dyDescent="0.25">
      <c r="A49" s="59">
        <v>514682</v>
      </c>
      <c r="B49" s="59" t="s">
        <v>3</v>
      </c>
      <c r="C49" s="8" t="s">
        <v>39</v>
      </c>
      <c r="D49" s="84">
        <v>45096</v>
      </c>
      <c r="E49" s="84">
        <v>45313</v>
      </c>
      <c r="F49" s="8" t="s">
        <v>77</v>
      </c>
      <c r="G49" s="84">
        <v>33985</v>
      </c>
      <c r="H49" s="21">
        <f t="shared" si="3"/>
        <v>30</v>
      </c>
      <c r="I49" s="8">
        <v>0</v>
      </c>
      <c r="J49" s="8">
        <v>25</v>
      </c>
      <c r="K49" s="8" t="s">
        <v>30</v>
      </c>
      <c r="L49" s="8" t="s">
        <v>78</v>
      </c>
      <c r="M49" s="8"/>
      <c r="N49" s="8" t="s">
        <v>92</v>
      </c>
      <c r="O49" s="8"/>
      <c r="P49" s="81">
        <f>33</f>
        <v>33</v>
      </c>
      <c r="Q49" s="8">
        <v>3</v>
      </c>
      <c r="R49" s="8">
        <v>0</v>
      </c>
      <c r="S49" s="8" t="s">
        <v>98</v>
      </c>
      <c r="T49" s="5" t="s">
        <v>80</v>
      </c>
      <c r="U49" s="5" t="s">
        <v>95</v>
      </c>
      <c r="V49" s="5" t="s">
        <v>78</v>
      </c>
      <c r="W49" s="5" t="s">
        <v>559</v>
      </c>
      <c r="X49" s="5" t="s">
        <v>82</v>
      </c>
      <c r="Y49" s="5" t="s">
        <v>373</v>
      </c>
      <c r="Z49" s="8" t="s">
        <v>39</v>
      </c>
      <c r="AA49" s="12">
        <v>45336</v>
      </c>
      <c r="AB49" s="80">
        <f>36+2/7</f>
        <v>36.285714285714285</v>
      </c>
      <c r="AC49" s="5" t="s">
        <v>4</v>
      </c>
      <c r="AD49" s="13" t="s">
        <v>578</v>
      </c>
      <c r="AE49" s="15">
        <f t="shared" si="2"/>
        <v>23</v>
      </c>
      <c r="AF49" s="15">
        <v>1</v>
      </c>
      <c r="AG49" s="5" t="s">
        <v>84</v>
      </c>
      <c r="AH49" s="27" t="s">
        <v>84</v>
      </c>
      <c r="AI49" s="6" t="s">
        <v>94</v>
      </c>
      <c r="AJ49" s="5" t="s">
        <v>82</v>
      </c>
      <c r="AK49" s="6" t="s">
        <v>96</v>
      </c>
      <c r="AL49" s="6" t="s">
        <v>493</v>
      </c>
      <c r="AM49" s="83">
        <f>36+2/7</f>
        <v>36.285714285714285</v>
      </c>
      <c r="AN49" s="6" t="s">
        <v>495</v>
      </c>
    </row>
    <row r="50" spans="1:40" ht="30" x14ac:dyDescent="0.25">
      <c r="A50" s="61">
        <v>515293</v>
      </c>
      <c r="B50" s="6" t="s">
        <v>7</v>
      </c>
      <c r="C50" s="46" t="s">
        <v>5</v>
      </c>
      <c r="D50" s="84">
        <v>45177</v>
      </c>
      <c r="E50" s="84">
        <v>45377</v>
      </c>
      <c r="F50" s="8" t="s">
        <v>77</v>
      </c>
      <c r="G50" s="84">
        <v>30038</v>
      </c>
      <c r="H50" s="21">
        <f t="shared" si="3"/>
        <v>41</v>
      </c>
      <c r="I50" s="8">
        <v>1</v>
      </c>
      <c r="J50" s="8">
        <v>25</v>
      </c>
      <c r="K50" s="8" t="s">
        <v>135</v>
      </c>
      <c r="L50" s="8" t="s">
        <v>176</v>
      </c>
      <c r="M50" s="46"/>
      <c r="N50" s="46" t="s">
        <v>181</v>
      </c>
      <c r="O50" s="46" t="s">
        <v>305</v>
      </c>
      <c r="P50" s="81">
        <f>30+4/7</f>
        <v>30.571428571428573</v>
      </c>
      <c r="Q50" s="8">
        <v>3</v>
      </c>
      <c r="R50" s="8">
        <v>1</v>
      </c>
      <c r="S50" s="8" t="s">
        <v>98</v>
      </c>
      <c r="T50" s="5" t="s">
        <v>84</v>
      </c>
      <c r="U50" s="5" t="s">
        <v>165</v>
      </c>
      <c r="V50" s="5" t="s">
        <v>77</v>
      </c>
      <c r="W50" s="13" t="s">
        <v>558</v>
      </c>
      <c r="X50" s="5" t="s">
        <v>82</v>
      </c>
      <c r="Y50" s="5" t="s">
        <v>373</v>
      </c>
      <c r="Z50" s="46" t="s">
        <v>5</v>
      </c>
      <c r="AA50" s="12">
        <v>45395</v>
      </c>
      <c r="AB50" s="80">
        <f>32+5/7</f>
        <v>32.714285714285715</v>
      </c>
      <c r="AC50" s="5"/>
      <c r="AD50" s="5" t="s">
        <v>563</v>
      </c>
      <c r="AE50" s="15">
        <f t="shared" si="2"/>
        <v>18</v>
      </c>
      <c r="AF50" s="15">
        <v>1</v>
      </c>
      <c r="AG50" s="13" t="s">
        <v>307</v>
      </c>
      <c r="AH50" s="5" t="s">
        <v>84</v>
      </c>
      <c r="AI50" s="13" t="s">
        <v>173</v>
      </c>
      <c r="AJ50" s="5" t="s">
        <v>82</v>
      </c>
      <c r="AK50" s="5" t="s">
        <v>83</v>
      </c>
      <c r="AL50" s="6" t="s">
        <v>260</v>
      </c>
      <c r="AM50" s="83">
        <f>32+5/7</f>
        <v>32.714285714285715</v>
      </c>
      <c r="AN50" s="6" t="s">
        <v>260</v>
      </c>
    </row>
    <row r="51" spans="1:40" ht="105" x14ac:dyDescent="0.25">
      <c r="A51" s="61">
        <v>515336</v>
      </c>
      <c r="B51" s="6" t="s">
        <v>7</v>
      </c>
      <c r="C51" s="51" t="s">
        <v>4</v>
      </c>
      <c r="D51" s="52">
        <v>45150</v>
      </c>
      <c r="E51" s="52">
        <v>45328</v>
      </c>
      <c r="F51" s="51" t="s">
        <v>77</v>
      </c>
      <c r="G51" s="52">
        <v>34722</v>
      </c>
      <c r="H51" s="39">
        <f t="shared" si="3"/>
        <v>28</v>
      </c>
      <c r="I51" s="51">
        <v>0</v>
      </c>
      <c r="J51" s="51">
        <v>37</v>
      </c>
      <c r="K51" s="51" t="s">
        <v>135</v>
      </c>
      <c r="L51" s="51" t="s">
        <v>229</v>
      </c>
      <c r="M51" s="51"/>
      <c r="N51" s="51" t="s">
        <v>92</v>
      </c>
      <c r="O51" s="51"/>
      <c r="P51" s="85">
        <f>27+3/7</f>
        <v>27.428571428571427</v>
      </c>
      <c r="Q51" s="51">
        <v>2</v>
      </c>
      <c r="R51" s="51">
        <v>1</v>
      </c>
      <c r="S51" s="51" t="s">
        <v>98</v>
      </c>
      <c r="T51" s="5" t="s">
        <v>80</v>
      </c>
      <c r="U51" s="5" t="s">
        <v>165</v>
      </c>
      <c r="V51" s="5" t="s">
        <v>77</v>
      </c>
      <c r="W51" s="5" t="s">
        <v>559</v>
      </c>
      <c r="X51" s="5" t="s">
        <v>82</v>
      </c>
      <c r="Y51" s="5" t="s">
        <v>373</v>
      </c>
      <c r="Z51" s="8" t="s">
        <v>6</v>
      </c>
      <c r="AA51" s="12">
        <v>45385</v>
      </c>
      <c r="AB51" s="80">
        <v>36</v>
      </c>
      <c r="AC51" s="5"/>
      <c r="AD51" s="5" t="s">
        <v>207</v>
      </c>
      <c r="AE51" s="15">
        <f t="shared" si="2"/>
        <v>57</v>
      </c>
      <c r="AF51" s="15">
        <v>2</v>
      </c>
      <c r="AG51" s="13" t="s">
        <v>231</v>
      </c>
      <c r="AH51" s="5" t="s">
        <v>80</v>
      </c>
      <c r="AI51" s="5" t="s">
        <v>94</v>
      </c>
      <c r="AJ51" s="5" t="s">
        <v>82</v>
      </c>
      <c r="AK51" s="13" t="s">
        <v>230</v>
      </c>
      <c r="AL51" s="5" t="s">
        <v>207</v>
      </c>
      <c r="AM51" s="80">
        <v>36</v>
      </c>
      <c r="AN51" s="5" t="s">
        <v>4</v>
      </c>
    </row>
    <row r="52" spans="1:40" ht="45" x14ac:dyDescent="0.25">
      <c r="A52" s="61">
        <v>515419</v>
      </c>
      <c r="B52" s="6" t="s">
        <v>7</v>
      </c>
      <c r="C52" s="51" t="s">
        <v>4</v>
      </c>
      <c r="D52" s="52">
        <v>45464</v>
      </c>
      <c r="E52" s="52">
        <v>45324</v>
      </c>
      <c r="F52" s="51" t="s">
        <v>77</v>
      </c>
      <c r="G52" s="52">
        <v>30853</v>
      </c>
      <c r="H52" s="39">
        <f t="shared" si="3"/>
        <v>40</v>
      </c>
      <c r="I52" s="51">
        <v>0</v>
      </c>
      <c r="J52" s="51">
        <v>29</v>
      </c>
      <c r="K52" s="51" t="s">
        <v>135</v>
      </c>
      <c r="L52" s="51" t="s">
        <v>78</v>
      </c>
      <c r="M52" s="51"/>
      <c r="N52" s="51"/>
      <c r="O52" s="51"/>
      <c r="P52" s="85">
        <f>33+6/7</f>
        <v>33.857142857142854</v>
      </c>
      <c r="Q52" s="51">
        <v>2</v>
      </c>
      <c r="R52" s="51">
        <v>1</v>
      </c>
      <c r="S52" s="51" t="s">
        <v>98</v>
      </c>
      <c r="T52" s="5" t="s">
        <v>80</v>
      </c>
      <c r="U52" s="5" t="s">
        <v>165</v>
      </c>
      <c r="V52" s="5" t="s">
        <v>77</v>
      </c>
      <c r="W52" s="5" t="s">
        <v>559</v>
      </c>
      <c r="X52" s="13" t="s">
        <v>224</v>
      </c>
      <c r="Y52" s="5" t="s">
        <v>225</v>
      </c>
      <c r="Z52" s="8" t="s">
        <v>4</v>
      </c>
      <c r="AA52" s="12">
        <v>45345</v>
      </c>
      <c r="AB52" s="80">
        <f>36+6/7</f>
        <v>36.857142857142854</v>
      </c>
      <c r="AC52" s="5"/>
      <c r="AD52" s="5" t="s">
        <v>207</v>
      </c>
      <c r="AE52" s="15">
        <f t="shared" si="2"/>
        <v>21</v>
      </c>
      <c r="AF52" s="15">
        <v>0</v>
      </c>
      <c r="AG52" s="5"/>
      <c r="AH52" s="5" t="s">
        <v>80</v>
      </c>
      <c r="AI52" s="5" t="s">
        <v>94</v>
      </c>
      <c r="AJ52" s="6" t="s">
        <v>82</v>
      </c>
      <c r="AK52" s="13" t="s">
        <v>226</v>
      </c>
      <c r="AL52" s="5" t="s">
        <v>207</v>
      </c>
      <c r="AM52" s="80">
        <f>37+2/7</f>
        <v>37.285714285714285</v>
      </c>
      <c r="AN52" s="5" t="s">
        <v>4</v>
      </c>
    </row>
    <row r="53" spans="1:40" ht="45" x14ac:dyDescent="0.25">
      <c r="A53" s="61">
        <v>515555</v>
      </c>
      <c r="B53" s="6" t="s">
        <v>7</v>
      </c>
      <c r="C53" s="40" t="s">
        <v>4</v>
      </c>
      <c r="D53" s="52">
        <v>45472</v>
      </c>
      <c r="E53" s="52">
        <v>45345</v>
      </c>
      <c r="F53" s="51" t="s">
        <v>77</v>
      </c>
      <c r="G53" s="52">
        <v>36510</v>
      </c>
      <c r="H53" s="39">
        <f t="shared" si="3"/>
        <v>24</v>
      </c>
      <c r="I53" s="51">
        <v>0</v>
      </c>
      <c r="J53" s="51">
        <v>33</v>
      </c>
      <c r="K53" s="51" t="s">
        <v>30</v>
      </c>
      <c r="L53" s="51" t="s">
        <v>78</v>
      </c>
      <c r="M53" s="51"/>
      <c r="N53" s="51" t="s">
        <v>92</v>
      </c>
      <c r="O53" s="40" t="s">
        <v>538</v>
      </c>
      <c r="P53" s="85">
        <f>35+5/7</f>
        <v>35.714285714285715</v>
      </c>
      <c r="Q53" s="51">
        <v>3</v>
      </c>
      <c r="R53" s="51">
        <v>1</v>
      </c>
      <c r="S53" s="51" t="s">
        <v>98</v>
      </c>
      <c r="T53" s="5" t="s">
        <v>84</v>
      </c>
      <c r="U53" s="5" t="s">
        <v>165</v>
      </c>
      <c r="V53" s="5" t="s">
        <v>78</v>
      </c>
      <c r="W53" s="5" t="s">
        <v>559</v>
      </c>
      <c r="X53" s="13" t="s">
        <v>292</v>
      </c>
      <c r="Y53" s="5" t="s">
        <v>294</v>
      </c>
      <c r="Z53" s="46" t="s">
        <v>4</v>
      </c>
      <c r="AA53" s="12">
        <v>45350</v>
      </c>
      <c r="AB53" s="80">
        <f>36+6/7</f>
        <v>36.857142857142854</v>
      </c>
      <c r="AC53" s="5"/>
      <c r="AD53" s="5" t="s">
        <v>207</v>
      </c>
      <c r="AE53" s="15">
        <f t="shared" si="2"/>
        <v>5</v>
      </c>
      <c r="AF53" s="15">
        <v>1</v>
      </c>
      <c r="AG53" s="13" t="s">
        <v>289</v>
      </c>
      <c r="AH53" s="5" t="s">
        <v>84</v>
      </c>
      <c r="AI53" s="5" t="s">
        <v>94</v>
      </c>
      <c r="AJ53" s="13" t="s">
        <v>293</v>
      </c>
      <c r="AK53" s="5" t="s">
        <v>291</v>
      </c>
      <c r="AL53" s="5" t="s">
        <v>207</v>
      </c>
      <c r="AM53" s="80">
        <f>37+2/7</f>
        <v>37.285714285714285</v>
      </c>
      <c r="AN53" s="5" t="s">
        <v>84</v>
      </c>
    </row>
    <row r="54" spans="1:40" ht="30" x14ac:dyDescent="0.25">
      <c r="A54" s="61">
        <v>516202</v>
      </c>
      <c r="B54" s="6" t="s">
        <v>7</v>
      </c>
      <c r="C54" s="51" t="s">
        <v>4</v>
      </c>
      <c r="D54" s="52">
        <v>45126</v>
      </c>
      <c r="E54" s="52">
        <v>45343</v>
      </c>
      <c r="F54" s="51" t="s">
        <v>77</v>
      </c>
      <c r="G54" s="52">
        <v>28194</v>
      </c>
      <c r="H54" s="39">
        <f t="shared" si="3"/>
        <v>46</v>
      </c>
      <c r="I54" s="51">
        <v>0</v>
      </c>
      <c r="J54" s="51">
        <v>23</v>
      </c>
      <c r="K54" s="51" t="s">
        <v>135</v>
      </c>
      <c r="L54" s="51" t="s">
        <v>78</v>
      </c>
      <c r="M54" s="40"/>
      <c r="N54" s="40"/>
      <c r="O54" s="51"/>
      <c r="P54" s="85">
        <v>33</v>
      </c>
      <c r="Q54" s="51">
        <v>2</v>
      </c>
      <c r="R54" s="51">
        <v>1</v>
      </c>
      <c r="S54" s="51" t="s">
        <v>102</v>
      </c>
      <c r="T54" s="5" t="s">
        <v>80</v>
      </c>
      <c r="U54" s="5" t="s">
        <v>165</v>
      </c>
      <c r="V54" s="5" t="s">
        <v>78</v>
      </c>
      <c r="W54" s="13" t="s">
        <v>558</v>
      </c>
      <c r="X54" s="6" t="s">
        <v>82</v>
      </c>
      <c r="Y54" s="6" t="s">
        <v>248</v>
      </c>
      <c r="Z54" s="8" t="s">
        <v>4</v>
      </c>
      <c r="AA54" s="12">
        <v>45355</v>
      </c>
      <c r="AB54" s="80">
        <f>34+4/7</f>
        <v>34.571428571428569</v>
      </c>
      <c r="AC54" s="5"/>
      <c r="AD54" s="13" t="s">
        <v>574</v>
      </c>
      <c r="AE54" s="15">
        <f t="shared" si="2"/>
        <v>12</v>
      </c>
      <c r="AF54" s="15">
        <v>0</v>
      </c>
      <c r="AG54" s="5"/>
      <c r="AH54" s="5" t="s">
        <v>80</v>
      </c>
      <c r="AI54" s="27" t="s">
        <v>128</v>
      </c>
      <c r="AJ54" s="5" t="s">
        <v>82</v>
      </c>
      <c r="AK54" s="5" t="s">
        <v>247</v>
      </c>
      <c r="AL54" s="5" t="s">
        <v>329</v>
      </c>
      <c r="AM54" s="80">
        <f>34+4/7</f>
        <v>34.571428571428569</v>
      </c>
      <c r="AN54" s="5" t="s">
        <v>4</v>
      </c>
    </row>
    <row r="55" spans="1:40" ht="60" x14ac:dyDescent="0.25">
      <c r="A55" s="57">
        <v>516747</v>
      </c>
      <c r="B55" s="58" t="s">
        <v>23</v>
      </c>
      <c r="C55" s="8" t="s">
        <v>39</v>
      </c>
      <c r="D55" s="84">
        <v>45211</v>
      </c>
      <c r="E55" s="84">
        <v>45417</v>
      </c>
      <c r="F55" s="8" t="s">
        <v>77</v>
      </c>
      <c r="G55" s="84">
        <v>33454</v>
      </c>
      <c r="H55" s="21">
        <f t="shared" si="3"/>
        <v>32</v>
      </c>
      <c r="I55" s="8">
        <v>3</v>
      </c>
      <c r="J55" s="8">
        <v>48</v>
      </c>
      <c r="K55" s="8" t="s">
        <v>30</v>
      </c>
      <c r="L55" s="8" t="s">
        <v>78</v>
      </c>
      <c r="M55" s="8"/>
      <c r="N55" s="8" t="s">
        <v>154</v>
      </c>
      <c r="O55" s="8"/>
      <c r="P55" s="81">
        <f>31+3/7</f>
        <v>31.428571428571427</v>
      </c>
      <c r="Q55" s="8">
        <v>2</v>
      </c>
      <c r="R55" s="8">
        <v>0</v>
      </c>
      <c r="S55" s="8">
        <v>1</v>
      </c>
      <c r="T55" s="5" t="s">
        <v>71</v>
      </c>
      <c r="U55" s="5" t="s">
        <v>95</v>
      </c>
      <c r="V55" s="5" t="s">
        <v>78</v>
      </c>
      <c r="W55" s="5" t="s">
        <v>559</v>
      </c>
      <c r="X55" s="5" t="s">
        <v>82</v>
      </c>
      <c r="Y55" s="5" t="s">
        <v>373</v>
      </c>
      <c r="Z55" s="8" t="s">
        <v>39</v>
      </c>
      <c r="AA55" s="12">
        <v>45466</v>
      </c>
      <c r="AB55" s="80">
        <f>38+3/7</f>
        <v>38.428571428571431</v>
      </c>
      <c r="AC55" s="5"/>
      <c r="AD55" s="5" t="s">
        <v>134</v>
      </c>
      <c r="AE55" s="15">
        <f t="shared" si="2"/>
        <v>49</v>
      </c>
      <c r="AF55" s="5">
        <v>1</v>
      </c>
      <c r="AG55" s="13" t="s">
        <v>406</v>
      </c>
      <c r="AH55" s="5" t="s">
        <v>71</v>
      </c>
      <c r="AI55" s="5" t="s">
        <v>94</v>
      </c>
      <c r="AJ55" s="5" t="s">
        <v>82</v>
      </c>
      <c r="AK55" s="5" t="s">
        <v>373</v>
      </c>
      <c r="AL55" s="5" t="s">
        <v>134</v>
      </c>
      <c r="AM55" s="80">
        <f>38+3/7</f>
        <v>38.428571428571431</v>
      </c>
      <c r="AN55" s="5"/>
    </row>
    <row r="56" spans="1:40" ht="90" x14ac:dyDescent="0.25">
      <c r="A56" s="63">
        <v>516775</v>
      </c>
      <c r="B56" s="6" t="s">
        <v>7</v>
      </c>
      <c r="C56" s="90" t="s">
        <v>76</v>
      </c>
      <c r="D56" s="87">
        <v>45179</v>
      </c>
      <c r="E56" s="87">
        <v>45356</v>
      </c>
      <c r="F56" s="86" t="s">
        <v>77</v>
      </c>
      <c r="G56" s="87">
        <v>30928</v>
      </c>
      <c r="H56" s="88">
        <f t="shared" si="3"/>
        <v>39</v>
      </c>
      <c r="I56" s="86">
        <v>2</v>
      </c>
      <c r="J56" s="86">
        <v>38</v>
      </c>
      <c r="K56" s="86" t="s">
        <v>30</v>
      </c>
      <c r="L56" s="86" t="s">
        <v>78</v>
      </c>
      <c r="M56" s="86" t="s">
        <v>4</v>
      </c>
      <c r="N56" s="86"/>
      <c r="O56" s="86"/>
      <c r="P56" s="89">
        <f>27+2/7</f>
        <v>27.285714285714285</v>
      </c>
      <c r="Q56" s="86">
        <v>2</v>
      </c>
      <c r="R56" s="86">
        <v>1</v>
      </c>
      <c r="S56" s="86" t="s">
        <v>98</v>
      </c>
      <c r="T56" s="5" t="s">
        <v>80</v>
      </c>
      <c r="U56" s="5" t="s">
        <v>165</v>
      </c>
      <c r="V56" s="5" t="s">
        <v>78</v>
      </c>
      <c r="W56" s="5" t="s">
        <v>559</v>
      </c>
      <c r="X56" s="5" t="s">
        <v>82</v>
      </c>
      <c r="Y56" s="13" t="s">
        <v>297</v>
      </c>
      <c r="Z56" s="8" t="s">
        <v>76</v>
      </c>
      <c r="AA56" s="12">
        <v>45415</v>
      </c>
      <c r="AB56" s="83">
        <f>35+5/7</f>
        <v>35.714285714285715</v>
      </c>
      <c r="AC56" s="5" t="s">
        <v>4</v>
      </c>
      <c r="AD56" s="5" t="s">
        <v>298</v>
      </c>
      <c r="AE56" s="15">
        <f t="shared" si="2"/>
        <v>59</v>
      </c>
      <c r="AF56" s="15">
        <v>2</v>
      </c>
      <c r="AG56" s="13" t="s">
        <v>299</v>
      </c>
      <c r="AH56" s="6" t="s">
        <v>71</v>
      </c>
      <c r="AI56" s="5" t="s">
        <v>94</v>
      </c>
      <c r="AJ56" s="5" t="s">
        <v>82</v>
      </c>
      <c r="AK56" s="5" t="s">
        <v>301</v>
      </c>
      <c r="AL56" s="5" t="s">
        <v>580</v>
      </c>
      <c r="AM56" s="195">
        <f>36+1/7</f>
        <v>36.142857142857146</v>
      </c>
      <c r="AN56" s="94" t="s">
        <v>303</v>
      </c>
    </row>
    <row r="57" spans="1:40" x14ac:dyDescent="0.25">
      <c r="A57" s="63">
        <v>516943</v>
      </c>
      <c r="B57" s="6" t="s">
        <v>7</v>
      </c>
      <c r="C57" s="51" t="s">
        <v>4</v>
      </c>
      <c r="D57" s="52">
        <v>45120</v>
      </c>
      <c r="E57" s="52">
        <v>45355</v>
      </c>
      <c r="F57" s="51" t="s">
        <v>77</v>
      </c>
      <c r="G57" s="52">
        <v>34022</v>
      </c>
      <c r="H57" s="39">
        <f t="shared" si="3"/>
        <v>30</v>
      </c>
      <c r="I57" s="51">
        <v>0</v>
      </c>
      <c r="J57" s="51">
        <v>23</v>
      </c>
      <c r="K57" s="51" t="s">
        <v>30</v>
      </c>
      <c r="L57" s="51" t="s">
        <v>78</v>
      </c>
      <c r="M57" s="51"/>
      <c r="N57" s="51" t="s">
        <v>154</v>
      </c>
      <c r="O57" s="40" t="s">
        <v>84</v>
      </c>
      <c r="P57" s="85">
        <f>36+1/7</f>
        <v>36.142857142857146</v>
      </c>
      <c r="Q57" s="51">
        <v>2</v>
      </c>
      <c r="R57" s="51">
        <v>2</v>
      </c>
      <c r="S57" s="51" t="s">
        <v>98</v>
      </c>
      <c r="T57" s="5" t="s">
        <v>279</v>
      </c>
      <c r="U57" s="5" t="s">
        <v>165</v>
      </c>
      <c r="V57" s="5" t="s">
        <v>78</v>
      </c>
      <c r="W57" s="5" t="s">
        <v>559</v>
      </c>
      <c r="X57" s="6" t="s">
        <v>82</v>
      </c>
      <c r="Y57" s="5" t="s">
        <v>285</v>
      </c>
      <c r="Z57" s="8" t="s">
        <v>4</v>
      </c>
      <c r="AA57" s="12">
        <v>45359</v>
      </c>
      <c r="AB57" s="80">
        <f>36+5/7</f>
        <v>36.714285714285715</v>
      </c>
      <c r="AC57" s="5"/>
      <c r="AD57" s="5" t="s">
        <v>563</v>
      </c>
      <c r="AE57" s="15">
        <f t="shared" si="2"/>
        <v>4</v>
      </c>
      <c r="AF57" s="15">
        <v>1</v>
      </c>
      <c r="AG57" s="5" t="s">
        <v>281</v>
      </c>
      <c r="AH57" s="5" t="s">
        <v>84</v>
      </c>
      <c r="AI57" s="5" t="s">
        <v>94</v>
      </c>
      <c r="AJ57" s="6" t="s">
        <v>82</v>
      </c>
      <c r="AK57" s="5" t="s">
        <v>283</v>
      </c>
      <c r="AL57" s="5" t="s">
        <v>260</v>
      </c>
      <c r="AM57" s="80">
        <f>36+5/7</f>
        <v>36.714285714285715</v>
      </c>
      <c r="AN57" s="5" t="s">
        <v>260</v>
      </c>
    </row>
    <row r="58" spans="1:40" x14ac:dyDescent="0.25">
      <c r="A58" s="57">
        <v>517108</v>
      </c>
      <c r="B58" s="58" t="s">
        <v>23</v>
      </c>
      <c r="C58" s="8" t="s">
        <v>39</v>
      </c>
      <c r="D58" s="84">
        <v>45246</v>
      </c>
      <c r="E58" s="84">
        <v>45427</v>
      </c>
      <c r="F58" s="8" t="s">
        <v>77</v>
      </c>
      <c r="G58" s="84">
        <v>36326</v>
      </c>
      <c r="H58" s="21">
        <f t="shared" si="3"/>
        <v>24</v>
      </c>
      <c r="I58" s="8">
        <v>1</v>
      </c>
      <c r="J58" s="8">
        <v>33</v>
      </c>
      <c r="K58" s="8" t="s">
        <v>30</v>
      </c>
      <c r="L58" s="8" t="s">
        <v>78</v>
      </c>
      <c r="M58" s="8" t="s">
        <v>4</v>
      </c>
      <c r="N58" s="8" t="s">
        <v>92</v>
      </c>
      <c r="O58" s="46" t="s">
        <v>84</v>
      </c>
      <c r="P58" s="81">
        <f>28</f>
        <v>28</v>
      </c>
      <c r="Q58" s="8">
        <v>3</v>
      </c>
      <c r="R58" s="8">
        <v>0</v>
      </c>
      <c r="S58" s="8">
        <v>1</v>
      </c>
      <c r="T58" s="5" t="s">
        <v>84</v>
      </c>
      <c r="U58" s="5" t="s">
        <v>95</v>
      </c>
      <c r="V58" s="5" t="s">
        <v>77</v>
      </c>
      <c r="W58" s="5" t="s">
        <v>559</v>
      </c>
      <c r="X58" s="5" t="s">
        <v>82</v>
      </c>
      <c r="Y58" s="5" t="s">
        <v>373</v>
      </c>
      <c r="Z58" s="8" t="s">
        <v>39</v>
      </c>
      <c r="AA58" s="12">
        <v>45477</v>
      </c>
      <c r="AB58" s="80">
        <v>35</v>
      </c>
      <c r="AC58" s="5" t="s">
        <v>4</v>
      </c>
      <c r="AD58" s="27" t="s">
        <v>571</v>
      </c>
      <c r="AE58" s="15">
        <f t="shared" si="2"/>
        <v>50</v>
      </c>
      <c r="AF58" s="5">
        <v>1</v>
      </c>
      <c r="AG58" s="5" t="s">
        <v>4</v>
      </c>
      <c r="AH58" s="5" t="s">
        <v>84</v>
      </c>
      <c r="AI58" s="5" t="s">
        <v>455</v>
      </c>
      <c r="AJ58" s="5" t="s">
        <v>82</v>
      </c>
      <c r="AK58" s="5" t="s">
        <v>423</v>
      </c>
      <c r="AL58" s="56" t="s">
        <v>207</v>
      </c>
      <c r="AM58" s="158">
        <f>37+1/7</f>
        <v>37.142857142857146</v>
      </c>
      <c r="AN58" s="157" t="s">
        <v>4</v>
      </c>
    </row>
    <row r="59" spans="1:40" x14ac:dyDescent="0.25">
      <c r="A59" s="57">
        <v>517195</v>
      </c>
      <c r="B59" s="58" t="s">
        <v>23</v>
      </c>
      <c r="C59" s="46" t="s">
        <v>39</v>
      </c>
      <c r="D59" s="84">
        <v>45240</v>
      </c>
      <c r="E59" s="84">
        <v>45422</v>
      </c>
      <c r="F59" s="8" t="s">
        <v>77</v>
      </c>
      <c r="G59" s="84">
        <v>32263</v>
      </c>
      <c r="H59" s="21">
        <f t="shared" si="3"/>
        <v>35</v>
      </c>
      <c r="I59" s="8">
        <v>1</v>
      </c>
      <c r="J59" s="8">
        <v>48</v>
      </c>
      <c r="K59" s="8" t="s">
        <v>30</v>
      </c>
      <c r="L59" s="8" t="s">
        <v>78</v>
      </c>
      <c r="M59" s="8"/>
      <c r="N59" s="8"/>
      <c r="O59" s="8" t="s">
        <v>84</v>
      </c>
      <c r="P59" s="81">
        <v>28</v>
      </c>
      <c r="Q59" s="8">
        <v>2</v>
      </c>
      <c r="R59" s="8">
        <v>0</v>
      </c>
      <c r="S59" s="8">
        <v>1</v>
      </c>
      <c r="T59" s="5" t="s">
        <v>80</v>
      </c>
      <c r="U59" s="5" t="s">
        <v>95</v>
      </c>
      <c r="V59" s="5" t="s">
        <v>78</v>
      </c>
      <c r="W59" s="5" t="s">
        <v>559</v>
      </c>
      <c r="X59" s="5" t="s">
        <v>82</v>
      </c>
      <c r="Y59" s="5" t="s">
        <v>373</v>
      </c>
      <c r="Z59" s="8" t="s">
        <v>39</v>
      </c>
      <c r="AA59" s="12">
        <v>45498</v>
      </c>
      <c r="AB59" s="80">
        <f>38+6/7</f>
        <v>38.857142857142854</v>
      </c>
      <c r="AC59" s="5"/>
      <c r="AD59" s="5" t="s">
        <v>207</v>
      </c>
      <c r="AE59" s="15">
        <f t="shared" si="2"/>
        <v>76</v>
      </c>
      <c r="AF59" s="5">
        <v>0</v>
      </c>
      <c r="AG59" s="5"/>
      <c r="AH59" s="5" t="s">
        <v>80</v>
      </c>
      <c r="AI59" s="5" t="s">
        <v>210</v>
      </c>
      <c r="AJ59" s="5" t="s">
        <v>82</v>
      </c>
      <c r="AK59" s="5" t="s">
        <v>373</v>
      </c>
      <c r="AL59" s="5" t="s">
        <v>207</v>
      </c>
      <c r="AM59" s="80">
        <v>39</v>
      </c>
      <c r="AN59" s="5" t="s">
        <v>437</v>
      </c>
    </row>
    <row r="60" spans="1:40" ht="45" x14ac:dyDescent="0.25">
      <c r="A60" s="57">
        <v>517489</v>
      </c>
      <c r="B60" s="58" t="s">
        <v>23</v>
      </c>
      <c r="C60" s="8" t="s">
        <v>39</v>
      </c>
      <c r="D60" s="84">
        <v>45289</v>
      </c>
      <c r="E60" s="84">
        <v>45484</v>
      </c>
      <c r="F60" s="8" t="s">
        <v>78</v>
      </c>
      <c r="G60" s="84">
        <v>31058</v>
      </c>
      <c r="H60" s="21">
        <f t="shared" si="3"/>
        <v>38</v>
      </c>
      <c r="I60" s="8">
        <v>4</v>
      </c>
      <c r="J60" s="8">
        <v>38</v>
      </c>
      <c r="K60" s="8" t="s">
        <v>30</v>
      </c>
      <c r="L60" s="8" t="s">
        <v>78</v>
      </c>
      <c r="M60" s="8"/>
      <c r="N60" s="8" t="s">
        <v>92</v>
      </c>
      <c r="O60" s="8"/>
      <c r="P60" s="81">
        <f>29+5/7</f>
        <v>29.714285714285715</v>
      </c>
      <c r="Q60" s="8">
        <v>2</v>
      </c>
      <c r="R60" s="8">
        <v>0</v>
      </c>
      <c r="S60" s="8">
        <v>1</v>
      </c>
      <c r="T60" s="5" t="s">
        <v>80</v>
      </c>
      <c r="U60" s="5" t="s">
        <v>95</v>
      </c>
      <c r="V60" s="5" t="s">
        <v>78</v>
      </c>
      <c r="W60" s="5" t="s">
        <v>559</v>
      </c>
      <c r="X60" s="5" t="s">
        <v>82</v>
      </c>
      <c r="Y60" s="5" t="s">
        <v>373</v>
      </c>
      <c r="Z60" s="8" t="s">
        <v>39</v>
      </c>
      <c r="AA60" s="12">
        <v>45540</v>
      </c>
      <c r="AB60" s="80">
        <f>37+6/7</f>
        <v>37.857142857142854</v>
      </c>
      <c r="AC60" s="5"/>
      <c r="AD60" s="5" t="s">
        <v>207</v>
      </c>
      <c r="AE60" s="15">
        <f t="shared" si="2"/>
        <v>56</v>
      </c>
      <c r="AF60" s="5">
        <v>0</v>
      </c>
      <c r="AG60" s="5"/>
      <c r="AH60" s="5" t="s">
        <v>71</v>
      </c>
      <c r="AI60" s="5" t="s">
        <v>94</v>
      </c>
      <c r="AJ60" s="13" t="s">
        <v>490</v>
      </c>
      <c r="AK60" s="5" t="s">
        <v>373</v>
      </c>
      <c r="AL60" s="6" t="s">
        <v>207</v>
      </c>
      <c r="AM60" s="80">
        <v>38</v>
      </c>
      <c r="AN60" s="13" t="s">
        <v>489</v>
      </c>
    </row>
    <row r="61" spans="1:40" ht="30" x14ac:dyDescent="0.25">
      <c r="A61" s="57">
        <v>517507</v>
      </c>
      <c r="B61" s="6" t="s">
        <v>7</v>
      </c>
      <c r="C61" s="46" t="s">
        <v>5</v>
      </c>
      <c r="D61" s="84">
        <v>45153</v>
      </c>
      <c r="E61" s="84">
        <v>45366</v>
      </c>
      <c r="F61" s="8" t="s">
        <v>77</v>
      </c>
      <c r="G61" s="84">
        <v>32604</v>
      </c>
      <c r="H61" s="21">
        <f t="shared" si="3"/>
        <v>34</v>
      </c>
      <c r="I61" s="8">
        <v>3</v>
      </c>
      <c r="J61" s="8">
        <v>34</v>
      </c>
      <c r="K61" s="8" t="s">
        <v>30</v>
      </c>
      <c r="L61" s="8" t="s">
        <v>78</v>
      </c>
      <c r="M61" s="8"/>
      <c r="N61" s="8" t="s">
        <v>92</v>
      </c>
      <c r="O61" s="8"/>
      <c r="P61" s="81">
        <f>32+3/7</f>
        <v>32.428571428571431</v>
      </c>
      <c r="Q61" s="8">
        <v>2</v>
      </c>
      <c r="R61" s="8">
        <v>1</v>
      </c>
      <c r="S61" s="8" t="s">
        <v>98</v>
      </c>
      <c r="T61" s="5" t="s">
        <v>80</v>
      </c>
      <c r="U61" s="6" t="s">
        <v>95</v>
      </c>
      <c r="V61" s="5" t="s">
        <v>78</v>
      </c>
      <c r="W61" s="13" t="s">
        <v>558</v>
      </c>
      <c r="X61" s="6" t="s">
        <v>82</v>
      </c>
      <c r="Y61" s="5" t="s">
        <v>373</v>
      </c>
      <c r="Z61" s="8" t="s">
        <v>5</v>
      </c>
      <c r="AA61" s="12">
        <v>45398</v>
      </c>
      <c r="AB61" s="80">
        <v>37</v>
      </c>
      <c r="AC61" s="5"/>
      <c r="AD61" s="5" t="s">
        <v>207</v>
      </c>
      <c r="AE61" s="15">
        <f t="shared" si="2"/>
        <v>32</v>
      </c>
      <c r="AF61" s="15">
        <v>0</v>
      </c>
      <c r="AG61" s="5"/>
      <c r="AH61" s="5" t="s">
        <v>80</v>
      </c>
      <c r="AI61" s="13" t="s">
        <v>163</v>
      </c>
      <c r="AJ61" s="6" t="s">
        <v>82</v>
      </c>
      <c r="AK61" s="6" t="s">
        <v>83</v>
      </c>
      <c r="AL61" s="5" t="s">
        <v>207</v>
      </c>
      <c r="AM61" s="80">
        <v>37</v>
      </c>
      <c r="AN61" s="5" t="s">
        <v>4</v>
      </c>
    </row>
    <row r="62" spans="1:40" ht="75" x14ac:dyDescent="0.25">
      <c r="A62" s="57">
        <v>517666</v>
      </c>
      <c r="B62" s="6" t="s">
        <v>7</v>
      </c>
      <c r="C62" s="8" t="s">
        <v>5</v>
      </c>
      <c r="D62" s="84">
        <v>45161</v>
      </c>
      <c r="E62" s="84">
        <v>45376</v>
      </c>
      <c r="F62" s="8" t="s">
        <v>77</v>
      </c>
      <c r="G62" s="84">
        <v>30331</v>
      </c>
      <c r="H62" s="21">
        <f t="shared" si="3"/>
        <v>40</v>
      </c>
      <c r="I62" s="8">
        <v>4</v>
      </c>
      <c r="J62" s="8">
        <v>39</v>
      </c>
      <c r="K62" s="8" t="s">
        <v>30</v>
      </c>
      <c r="L62" s="8" t="s">
        <v>78</v>
      </c>
      <c r="M62" s="8"/>
      <c r="N62" s="8"/>
      <c r="O62" s="8"/>
      <c r="P62" s="81">
        <f>32+5/7</f>
        <v>32.714285714285715</v>
      </c>
      <c r="Q62" s="8">
        <v>7</v>
      </c>
      <c r="R62" s="8">
        <v>1</v>
      </c>
      <c r="S62" s="8" t="s">
        <v>98</v>
      </c>
      <c r="T62" s="5" t="s">
        <v>80</v>
      </c>
      <c r="U62" s="6" t="s">
        <v>95</v>
      </c>
      <c r="V62" s="5" t="s">
        <v>78</v>
      </c>
      <c r="W62" s="5" t="s">
        <v>559</v>
      </c>
      <c r="X62" s="6" t="s">
        <v>82</v>
      </c>
      <c r="Y62" s="5" t="s">
        <v>373</v>
      </c>
      <c r="Z62" s="8" t="s">
        <v>5</v>
      </c>
      <c r="AA62" s="12">
        <v>45399</v>
      </c>
      <c r="AB62" s="80">
        <v>36</v>
      </c>
      <c r="AC62" s="5"/>
      <c r="AD62" s="13" t="s">
        <v>563</v>
      </c>
      <c r="AE62" s="15">
        <f t="shared" si="2"/>
        <v>23</v>
      </c>
      <c r="AF62" s="15">
        <v>2</v>
      </c>
      <c r="AG62" s="13" t="s">
        <v>274</v>
      </c>
      <c r="AH62" s="6" t="s">
        <v>84</v>
      </c>
      <c r="AI62" s="13" t="s">
        <v>173</v>
      </c>
      <c r="AJ62" s="6" t="s">
        <v>82</v>
      </c>
      <c r="AK62" s="6" t="s">
        <v>275</v>
      </c>
      <c r="AL62" s="5" t="s">
        <v>260</v>
      </c>
      <c r="AM62" s="80">
        <v>36</v>
      </c>
      <c r="AN62" s="5" t="s">
        <v>260</v>
      </c>
    </row>
    <row r="63" spans="1:40" ht="30" x14ac:dyDescent="0.25">
      <c r="A63" s="59">
        <v>517696</v>
      </c>
      <c r="B63" s="59" t="s">
        <v>3</v>
      </c>
      <c r="C63" s="86" t="s">
        <v>6</v>
      </c>
      <c r="D63" s="87">
        <v>45209</v>
      </c>
      <c r="E63" s="87">
        <v>45373</v>
      </c>
      <c r="F63" s="86" t="s">
        <v>77</v>
      </c>
      <c r="G63" s="87">
        <v>29937</v>
      </c>
      <c r="H63" s="88">
        <f t="shared" si="3"/>
        <v>41</v>
      </c>
      <c r="I63" s="86">
        <v>0</v>
      </c>
      <c r="J63" s="86">
        <v>18</v>
      </c>
      <c r="K63" s="86" t="s">
        <v>135</v>
      </c>
      <c r="L63" s="86" t="s">
        <v>78</v>
      </c>
      <c r="M63" s="86"/>
      <c r="N63" s="86"/>
      <c r="O63" s="86" t="s">
        <v>136</v>
      </c>
      <c r="P63" s="89">
        <f>25+2/7</f>
        <v>25.285714285714285</v>
      </c>
      <c r="Q63" s="86">
        <v>3</v>
      </c>
      <c r="R63" s="86">
        <v>0</v>
      </c>
      <c r="S63" s="86" t="s">
        <v>98</v>
      </c>
      <c r="T63" s="5" t="s">
        <v>84</v>
      </c>
      <c r="U63" s="6" t="s">
        <v>165</v>
      </c>
      <c r="V63" s="5" t="s">
        <v>77</v>
      </c>
      <c r="W63" s="5" t="s">
        <v>559</v>
      </c>
      <c r="X63" s="6" t="s">
        <v>82</v>
      </c>
      <c r="Y63" s="5" t="s">
        <v>373</v>
      </c>
      <c r="Z63" s="8" t="s">
        <v>76</v>
      </c>
      <c r="AA63" s="12">
        <v>45373</v>
      </c>
      <c r="AB63" s="80">
        <f>25+2/7</f>
        <v>25.285714285714285</v>
      </c>
      <c r="AC63" s="5"/>
      <c r="AD63" s="27" t="s">
        <v>570</v>
      </c>
      <c r="AE63" s="15">
        <f t="shared" si="2"/>
        <v>0</v>
      </c>
      <c r="AF63" s="15">
        <v>1</v>
      </c>
      <c r="AG63" s="5"/>
      <c r="AH63" s="6" t="s">
        <v>84</v>
      </c>
      <c r="AI63" s="5"/>
      <c r="AJ63" s="5"/>
      <c r="AK63" s="5"/>
      <c r="AL63" s="6" t="s">
        <v>260</v>
      </c>
      <c r="AM63" s="83">
        <f>27</f>
        <v>27</v>
      </c>
      <c r="AN63" s="6" t="s">
        <v>84</v>
      </c>
    </row>
    <row r="64" spans="1:40" ht="30" x14ac:dyDescent="0.25">
      <c r="A64" s="59">
        <v>518247</v>
      </c>
      <c r="B64" s="59" t="s">
        <v>3</v>
      </c>
      <c r="C64" s="51" t="s">
        <v>4</v>
      </c>
      <c r="D64" s="52">
        <v>45159</v>
      </c>
      <c r="E64" s="52">
        <v>45380</v>
      </c>
      <c r="F64" s="51" t="s">
        <v>77</v>
      </c>
      <c r="G64" s="52">
        <v>35276</v>
      </c>
      <c r="H64" s="39">
        <f t="shared" si="3"/>
        <v>27</v>
      </c>
      <c r="I64" s="51">
        <v>0</v>
      </c>
      <c r="J64" s="51">
        <v>28</v>
      </c>
      <c r="K64" s="51" t="s">
        <v>30</v>
      </c>
      <c r="L64" s="51" t="s">
        <v>78</v>
      </c>
      <c r="M64" s="51"/>
      <c r="N64" s="51"/>
      <c r="O64" s="51" t="s">
        <v>84</v>
      </c>
      <c r="P64" s="85">
        <f>33+4/7</f>
        <v>33.571428571428569</v>
      </c>
      <c r="Q64" s="51">
        <v>7</v>
      </c>
      <c r="R64" s="51">
        <v>0</v>
      </c>
      <c r="S64" s="51" t="s">
        <v>102</v>
      </c>
      <c r="T64" s="6" t="s">
        <v>84</v>
      </c>
      <c r="U64" s="5" t="s">
        <v>165</v>
      </c>
      <c r="V64" s="5" t="s">
        <v>77</v>
      </c>
      <c r="W64" s="13" t="s">
        <v>558</v>
      </c>
      <c r="X64" s="6" t="s">
        <v>82</v>
      </c>
      <c r="Y64" s="6" t="s">
        <v>198</v>
      </c>
      <c r="Z64" s="8" t="s">
        <v>4</v>
      </c>
      <c r="AA64" s="12">
        <v>45394</v>
      </c>
      <c r="AB64" s="80">
        <f>35+4/7</f>
        <v>35.571428571428569</v>
      </c>
      <c r="AC64" s="5"/>
      <c r="AD64" s="6" t="s">
        <v>180</v>
      </c>
      <c r="AE64" s="15">
        <f t="shared" si="2"/>
        <v>14</v>
      </c>
      <c r="AF64" s="15">
        <v>0</v>
      </c>
      <c r="AG64" s="5"/>
      <c r="AH64" s="6" t="s">
        <v>84</v>
      </c>
      <c r="AI64" s="13" t="s">
        <v>173</v>
      </c>
      <c r="AJ64" s="6" t="s">
        <v>200</v>
      </c>
      <c r="AK64" s="6" t="s">
        <v>201</v>
      </c>
      <c r="AL64" s="5" t="s">
        <v>134</v>
      </c>
      <c r="AM64" s="80">
        <f>35+4/7</f>
        <v>35.571428571428569</v>
      </c>
      <c r="AN64" s="5"/>
    </row>
    <row r="65" spans="1:40" ht="30" x14ac:dyDescent="0.25">
      <c r="A65" s="57">
        <v>518267</v>
      </c>
      <c r="B65" s="58" t="s">
        <v>23</v>
      </c>
      <c r="C65" s="8" t="s">
        <v>39</v>
      </c>
      <c r="D65" s="84">
        <v>45245</v>
      </c>
      <c r="E65" s="84">
        <v>45428</v>
      </c>
      <c r="F65" s="8" t="s">
        <v>77</v>
      </c>
      <c r="G65" s="84">
        <v>31506</v>
      </c>
      <c r="H65" s="21">
        <f t="shared" si="3"/>
        <v>37</v>
      </c>
      <c r="I65" s="8">
        <v>1</v>
      </c>
      <c r="J65" s="8">
        <v>30</v>
      </c>
      <c r="K65" s="8" t="s">
        <v>30</v>
      </c>
      <c r="L65" s="8" t="s">
        <v>78</v>
      </c>
      <c r="M65" s="8"/>
      <c r="N65" s="8"/>
      <c r="O65" s="8" t="s">
        <v>484</v>
      </c>
      <c r="P65" s="81">
        <f>28+1/7</f>
        <v>28.142857142857142</v>
      </c>
      <c r="Q65" s="8">
        <v>3</v>
      </c>
      <c r="R65" s="8">
        <v>0</v>
      </c>
      <c r="S65" s="8">
        <v>1</v>
      </c>
      <c r="T65" s="5" t="s">
        <v>84</v>
      </c>
      <c r="U65" s="5" t="s">
        <v>95</v>
      </c>
      <c r="V65" s="5" t="s">
        <v>208</v>
      </c>
      <c r="W65" s="13" t="s">
        <v>558</v>
      </c>
      <c r="X65" s="5" t="s">
        <v>82</v>
      </c>
      <c r="Y65" s="5" t="s">
        <v>373</v>
      </c>
      <c r="Z65" s="8" t="s">
        <v>39</v>
      </c>
      <c r="AA65" s="12">
        <v>45484</v>
      </c>
      <c r="AB65" s="80">
        <f>36+1/7</f>
        <v>36.142857142857146</v>
      </c>
      <c r="AC65" s="5" t="s">
        <v>4</v>
      </c>
      <c r="AD65" s="27" t="s">
        <v>282</v>
      </c>
      <c r="AE65" s="15">
        <f t="shared" si="2"/>
        <v>56</v>
      </c>
      <c r="AF65" s="5">
        <v>1</v>
      </c>
      <c r="AG65" s="5" t="s">
        <v>127</v>
      </c>
      <c r="AH65" s="5" t="s">
        <v>84</v>
      </c>
      <c r="AI65" s="13" t="s">
        <v>173</v>
      </c>
      <c r="AJ65" s="5" t="s">
        <v>82</v>
      </c>
      <c r="AK65" s="5" t="s">
        <v>485</v>
      </c>
      <c r="AL65" s="6" t="s">
        <v>4</v>
      </c>
      <c r="AM65" s="83">
        <f>36+1/7</f>
        <v>36.142857142857146</v>
      </c>
      <c r="AN65" s="6" t="s">
        <v>4</v>
      </c>
    </row>
    <row r="66" spans="1:40" x14ac:dyDescent="0.25">
      <c r="A66" s="57">
        <v>518318</v>
      </c>
      <c r="B66" s="58" t="s">
        <v>8</v>
      </c>
      <c r="C66" s="8" t="s">
        <v>39</v>
      </c>
      <c r="D66" s="84">
        <v>45239</v>
      </c>
      <c r="E66" s="84">
        <v>45420</v>
      </c>
      <c r="F66" s="8" t="s">
        <v>77</v>
      </c>
      <c r="G66" s="84">
        <v>30496</v>
      </c>
      <c r="H66" s="21">
        <f t="shared" si="3"/>
        <v>40</v>
      </c>
      <c r="I66" s="8">
        <v>4</v>
      </c>
      <c r="J66" s="8">
        <v>31</v>
      </c>
      <c r="K66" s="8" t="s">
        <v>30</v>
      </c>
      <c r="L66" s="8" t="s">
        <v>78</v>
      </c>
      <c r="M66" s="8"/>
      <c r="N66" s="8" t="s">
        <v>154</v>
      </c>
      <c r="O66" s="8"/>
      <c r="P66" s="81">
        <f>27+6/7</f>
        <v>27.857142857142858</v>
      </c>
      <c r="Q66" s="8">
        <v>2</v>
      </c>
      <c r="R66" s="8">
        <v>0</v>
      </c>
      <c r="S66" s="8">
        <v>1</v>
      </c>
      <c r="T66" s="5" t="s">
        <v>80</v>
      </c>
      <c r="U66" s="5" t="s">
        <v>95</v>
      </c>
      <c r="V66" s="5" t="s">
        <v>78</v>
      </c>
      <c r="W66" s="5" t="s">
        <v>559</v>
      </c>
      <c r="X66" s="5" t="s">
        <v>82</v>
      </c>
      <c r="Y66" s="5" t="s">
        <v>351</v>
      </c>
      <c r="Z66" s="8" t="s">
        <v>39</v>
      </c>
      <c r="AA66" s="12">
        <v>45506</v>
      </c>
      <c r="AB66" s="80">
        <f>40+2/7</f>
        <v>40.285714285714285</v>
      </c>
      <c r="AC66" s="5"/>
      <c r="AD66" s="5" t="s">
        <v>134</v>
      </c>
      <c r="AE66" s="15">
        <f t="shared" ref="AE66:AE97" si="4">DATEDIF(E66,AA66,"D")</f>
        <v>86</v>
      </c>
      <c r="AF66" s="5">
        <v>0</v>
      </c>
      <c r="AG66" s="5"/>
      <c r="AH66" s="5" t="s">
        <v>80</v>
      </c>
      <c r="AI66" s="5"/>
      <c r="AJ66" s="5" t="s">
        <v>82</v>
      </c>
      <c r="AK66" s="5" t="s">
        <v>351</v>
      </c>
      <c r="AL66" s="5" t="s">
        <v>134</v>
      </c>
      <c r="AM66" s="80">
        <f>40+2/7</f>
        <v>40.285714285714285</v>
      </c>
      <c r="AN66" s="5"/>
    </row>
    <row r="67" spans="1:40" ht="30" x14ac:dyDescent="0.25">
      <c r="A67" s="57">
        <v>518701</v>
      </c>
      <c r="B67" s="58" t="s">
        <v>23</v>
      </c>
      <c r="C67" s="46" t="s">
        <v>39</v>
      </c>
      <c r="D67" s="84">
        <v>45263</v>
      </c>
      <c r="E67" s="84">
        <v>45450</v>
      </c>
      <c r="F67" s="8" t="s">
        <v>77</v>
      </c>
      <c r="G67" s="84">
        <v>29768</v>
      </c>
      <c r="H67" s="21">
        <f t="shared" si="3"/>
        <v>42</v>
      </c>
      <c r="I67" s="8">
        <v>0</v>
      </c>
      <c r="J67" s="8">
        <v>30</v>
      </c>
      <c r="K67" s="8" t="s">
        <v>135</v>
      </c>
      <c r="L67" s="8" t="s">
        <v>78</v>
      </c>
      <c r="M67" s="8"/>
      <c r="N67" s="8" t="s">
        <v>181</v>
      </c>
      <c r="O67" s="8"/>
      <c r="P67" s="81">
        <f>28+5/7</f>
        <v>28.714285714285715</v>
      </c>
      <c r="Q67" s="8">
        <v>2</v>
      </c>
      <c r="R67" s="8">
        <v>0</v>
      </c>
      <c r="S67" s="8">
        <v>1</v>
      </c>
      <c r="T67" s="5" t="s">
        <v>80</v>
      </c>
      <c r="U67" s="5" t="s">
        <v>95</v>
      </c>
      <c r="V67" s="5" t="s">
        <v>78</v>
      </c>
      <c r="W67" s="13" t="s">
        <v>558</v>
      </c>
      <c r="X67" s="5" t="s">
        <v>82</v>
      </c>
      <c r="Y67" s="5" t="s">
        <v>373</v>
      </c>
      <c r="Z67" s="8" t="s">
        <v>39</v>
      </c>
      <c r="AA67" s="12">
        <v>45517</v>
      </c>
      <c r="AB67" s="80">
        <f>38+2/7</f>
        <v>38.285714285714285</v>
      </c>
      <c r="AC67" s="5"/>
      <c r="AD67" s="5" t="s">
        <v>134</v>
      </c>
      <c r="AE67" s="15">
        <f t="shared" si="4"/>
        <v>67</v>
      </c>
      <c r="AF67" s="5">
        <v>0</v>
      </c>
      <c r="AG67" s="5"/>
      <c r="AH67" s="5" t="s">
        <v>80</v>
      </c>
      <c r="AI67" s="13" t="s">
        <v>170</v>
      </c>
      <c r="AJ67" s="5" t="s">
        <v>82</v>
      </c>
      <c r="AK67" s="5" t="s">
        <v>373</v>
      </c>
      <c r="AL67" s="5" t="s">
        <v>134</v>
      </c>
      <c r="AM67" s="80">
        <f>38+3/7</f>
        <v>38.428571428571431</v>
      </c>
      <c r="AN67" s="5"/>
    </row>
    <row r="68" spans="1:40" x14ac:dyDescent="0.25">
      <c r="A68" s="64">
        <v>518824</v>
      </c>
      <c r="B68" s="6" t="s">
        <v>7</v>
      </c>
      <c r="C68" s="90" t="s">
        <v>76</v>
      </c>
      <c r="D68" s="87">
        <v>45182</v>
      </c>
      <c r="E68" s="87">
        <v>45394</v>
      </c>
      <c r="F68" s="86" t="s">
        <v>77</v>
      </c>
      <c r="G68" s="87">
        <v>30003</v>
      </c>
      <c r="H68" s="88">
        <f t="shared" si="3"/>
        <v>41</v>
      </c>
      <c r="I68" s="86">
        <v>4</v>
      </c>
      <c r="J68" s="86">
        <v>31</v>
      </c>
      <c r="K68" s="86" t="s">
        <v>30</v>
      </c>
      <c r="L68" s="86" t="s">
        <v>78</v>
      </c>
      <c r="M68" s="86"/>
      <c r="N68" s="86" t="s">
        <v>181</v>
      </c>
      <c r="O68" s="86"/>
      <c r="P68" s="89">
        <f>32+2/7</f>
        <v>32.285714285714285</v>
      </c>
      <c r="Q68" s="86">
        <v>2</v>
      </c>
      <c r="R68" s="86">
        <v>1</v>
      </c>
      <c r="S68" s="86" t="s">
        <v>253</v>
      </c>
      <c r="T68" s="5" t="s">
        <v>80</v>
      </c>
      <c r="U68" s="5" t="s">
        <v>95</v>
      </c>
      <c r="V68" s="5" t="s">
        <v>78</v>
      </c>
      <c r="W68" s="5" t="s">
        <v>559</v>
      </c>
      <c r="X68" s="5" t="s">
        <v>82</v>
      </c>
      <c r="Y68" s="5" t="s">
        <v>373</v>
      </c>
      <c r="Z68" s="8" t="s">
        <v>39</v>
      </c>
      <c r="AA68" s="12">
        <v>45436</v>
      </c>
      <c r="AB68" s="80">
        <f>38+2/7</f>
        <v>38.285714285714285</v>
      </c>
      <c r="AC68" s="5"/>
      <c r="AD68" s="5" t="s">
        <v>207</v>
      </c>
      <c r="AE68" s="15">
        <f t="shared" si="4"/>
        <v>42</v>
      </c>
      <c r="AF68" s="15">
        <v>0</v>
      </c>
      <c r="AG68" s="5"/>
      <c r="AH68" s="5" t="s">
        <v>80</v>
      </c>
      <c r="AI68" s="5" t="s">
        <v>210</v>
      </c>
      <c r="AJ68" s="5" t="s">
        <v>82</v>
      </c>
      <c r="AK68" s="5" t="s">
        <v>83</v>
      </c>
      <c r="AL68" s="5" t="s">
        <v>207</v>
      </c>
      <c r="AM68" s="80">
        <f>38+5/7</f>
        <v>38.714285714285715</v>
      </c>
      <c r="AN68" s="5" t="s">
        <v>312</v>
      </c>
    </row>
    <row r="69" spans="1:40" ht="75" x14ac:dyDescent="0.25">
      <c r="A69" s="57">
        <v>518898</v>
      </c>
      <c r="B69" s="58" t="s">
        <v>8</v>
      </c>
      <c r="C69" s="8" t="s">
        <v>39</v>
      </c>
      <c r="D69" s="84">
        <v>45169</v>
      </c>
      <c r="E69" s="84">
        <v>45394</v>
      </c>
      <c r="F69" s="8" t="s">
        <v>77</v>
      </c>
      <c r="G69" s="84">
        <v>32190</v>
      </c>
      <c r="H69" s="21">
        <f t="shared" si="3"/>
        <v>35</v>
      </c>
      <c r="I69" s="8">
        <v>0</v>
      </c>
      <c r="J69" s="8">
        <v>43</v>
      </c>
      <c r="K69" s="8" t="s">
        <v>30</v>
      </c>
      <c r="L69" s="8" t="s">
        <v>78</v>
      </c>
      <c r="M69" s="8"/>
      <c r="N69" s="8" t="s">
        <v>154</v>
      </c>
      <c r="O69" s="8"/>
      <c r="P69" s="81">
        <f>32+1/7</f>
        <v>32.142857142857146</v>
      </c>
      <c r="Q69" s="8">
        <v>2</v>
      </c>
      <c r="R69" s="8">
        <v>0</v>
      </c>
      <c r="S69" s="8">
        <v>2</v>
      </c>
      <c r="T69" s="5" t="s">
        <v>80</v>
      </c>
      <c r="U69" s="5" t="s">
        <v>165</v>
      </c>
      <c r="V69" s="5" t="s">
        <v>77</v>
      </c>
      <c r="W69" s="13" t="s">
        <v>558</v>
      </c>
      <c r="X69" s="5" t="s">
        <v>361</v>
      </c>
      <c r="Y69" s="5">
        <v>1.2</v>
      </c>
      <c r="Z69" s="8" t="s">
        <v>4</v>
      </c>
      <c r="AA69" s="12">
        <v>45398</v>
      </c>
      <c r="AB69" s="80">
        <f>34+5/7</f>
        <v>34.714285714285715</v>
      </c>
      <c r="AC69" s="5"/>
      <c r="AD69" s="5" t="s">
        <v>565</v>
      </c>
      <c r="AE69" s="15">
        <f t="shared" si="4"/>
        <v>4</v>
      </c>
      <c r="AF69" s="5">
        <v>2</v>
      </c>
      <c r="AG69" s="13" t="s">
        <v>510</v>
      </c>
      <c r="AH69" s="5" t="s">
        <v>80</v>
      </c>
      <c r="AI69" s="13" t="s">
        <v>88</v>
      </c>
      <c r="AJ69" s="5" t="s">
        <v>82</v>
      </c>
      <c r="AK69" s="5">
        <v>0.8</v>
      </c>
      <c r="AL69" s="6" t="s">
        <v>343</v>
      </c>
      <c r="AM69" s="83" t="s">
        <v>208</v>
      </c>
      <c r="AN69" s="6" t="s">
        <v>208</v>
      </c>
    </row>
    <row r="70" spans="1:40" x14ac:dyDescent="0.25">
      <c r="A70" s="57">
        <v>518975</v>
      </c>
      <c r="B70" s="58" t="s">
        <v>23</v>
      </c>
      <c r="C70" s="86" t="s">
        <v>76</v>
      </c>
      <c r="D70" s="87">
        <v>45224</v>
      </c>
      <c r="E70" s="87">
        <v>45451</v>
      </c>
      <c r="F70" s="86" t="s">
        <v>77</v>
      </c>
      <c r="G70" s="87">
        <v>30940</v>
      </c>
      <c r="H70" s="88">
        <f t="shared" si="3"/>
        <v>39</v>
      </c>
      <c r="I70" s="86">
        <v>2</v>
      </c>
      <c r="J70" s="86">
        <v>28</v>
      </c>
      <c r="K70" s="86" t="s">
        <v>30</v>
      </c>
      <c r="L70" s="86" t="s">
        <v>78</v>
      </c>
      <c r="M70" s="86" t="s">
        <v>509</v>
      </c>
      <c r="N70" s="86"/>
      <c r="O70" s="86" t="s">
        <v>84</v>
      </c>
      <c r="P70" s="89">
        <f>34+3/7</f>
        <v>34.428571428571431</v>
      </c>
      <c r="Q70" s="86">
        <v>3</v>
      </c>
      <c r="R70" s="86">
        <v>0</v>
      </c>
      <c r="S70" s="86">
        <v>1</v>
      </c>
      <c r="T70" s="5" t="s">
        <v>84</v>
      </c>
      <c r="U70" s="5" t="s">
        <v>165</v>
      </c>
      <c r="V70" s="5" t="s">
        <v>78</v>
      </c>
      <c r="W70" s="5" t="s">
        <v>559</v>
      </c>
      <c r="X70" s="5" t="s">
        <v>82</v>
      </c>
      <c r="Y70" s="5" t="s">
        <v>373</v>
      </c>
      <c r="Z70" s="8" t="s">
        <v>76</v>
      </c>
      <c r="AA70" s="12">
        <v>45471</v>
      </c>
      <c r="AB70" s="80">
        <f>37+2/7</f>
        <v>37.285714285714285</v>
      </c>
      <c r="AC70" s="5"/>
      <c r="AD70" s="5" t="s">
        <v>134</v>
      </c>
      <c r="AE70" s="15">
        <f t="shared" si="4"/>
        <v>20</v>
      </c>
      <c r="AF70" s="5">
        <v>0</v>
      </c>
      <c r="AG70" s="5"/>
      <c r="AH70" s="5" t="s">
        <v>84</v>
      </c>
      <c r="AI70" s="5" t="s">
        <v>210</v>
      </c>
      <c r="AJ70" s="5" t="s">
        <v>82</v>
      </c>
      <c r="AK70" s="5" t="s">
        <v>373</v>
      </c>
      <c r="AL70" s="5" t="s">
        <v>134</v>
      </c>
      <c r="AM70" s="80">
        <f>37+2/7</f>
        <v>37.285714285714285</v>
      </c>
      <c r="AN70" s="5"/>
    </row>
    <row r="71" spans="1:40" ht="30" x14ac:dyDescent="0.25">
      <c r="A71" s="57">
        <v>519003</v>
      </c>
      <c r="B71" s="58" t="s">
        <v>23</v>
      </c>
      <c r="C71" s="8" t="s">
        <v>39</v>
      </c>
      <c r="D71" s="84">
        <v>45279</v>
      </c>
      <c r="E71" s="84">
        <v>45461</v>
      </c>
      <c r="F71" s="8" t="s">
        <v>77</v>
      </c>
      <c r="G71" s="84">
        <v>35130</v>
      </c>
      <c r="H71" s="21">
        <f t="shared" ref="H71:H102" si="5">DATEDIF(G71,D71,"Y")</f>
        <v>27</v>
      </c>
      <c r="I71" s="8">
        <v>1</v>
      </c>
      <c r="J71" s="8">
        <v>29</v>
      </c>
      <c r="K71" s="8" t="s">
        <v>30</v>
      </c>
      <c r="L71" s="8" t="s">
        <v>78</v>
      </c>
      <c r="M71" s="8"/>
      <c r="N71" s="8"/>
      <c r="O71" s="8"/>
      <c r="P71" s="81">
        <v>28</v>
      </c>
      <c r="Q71" s="8">
        <v>2</v>
      </c>
      <c r="R71" s="8">
        <v>0</v>
      </c>
      <c r="S71" s="8">
        <v>1</v>
      </c>
      <c r="T71" s="5" t="s">
        <v>80</v>
      </c>
      <c r="U71" s="5" t="s">
        <v>95</v>
      </c>
      <c r="V71" s="5" t="s">
        <v>77</v>
      </c>
      <c r="W71" s="5" t="s">
        <v>559</v>
      </c>
      <c r="X71" s="5" t="s">
        <v>82</v>
      </c>
      <c r="Y71" s="5" t="s">
        <v>373</v>
      </c>
      <c r="Z71" s="8" t="s">
        <v>39</v>
      </c>
      <c r="AA71" s="12">
        <v>45535</v>
      </c>
      <c r="AB71" s="80">
        <f>38+4/7</f>
        <v>38.571428571428569</v>
      </c>
      <c r="AC71" s="5" t="s">
        <v>279</v>
      </c>
      <c r="AD71" s="5" t="s">
        <v>134</v>
      </c>
      <c r="AE71" s="15">
        <f t="shared" si="4"/>
        <v>74</v>
      </c>
      <c r="AF71" s="5">
        <v>1</v>
      </c>
      <c r="AG71" s="13" t="s">
        <v>416</v>
      </c>
      <c r="AH71" s="5" t="s">
        <v>84</v>
      </c>
      <c r="AI71" s="5" t="s">
        <v>210</v>
      </c>
      <c r="AJ71" s="5" t="s">
        <v>82</v>
      </c>
      <c r="AK71" s="5" t="s">
        <v>373</v>
      </c>
      <c r="AL71" s="5" t="s">
        <v>134</v>
      </c>
      <c r="AM71" s="80">
        <f>38+4/7</f>
        <v>38.571428571428569</v>
      </c>
      <c r="AN71" s="5"/>
    </row>
    <row r="72" spans="1:40" x14ac:dyDescent="0.25">
      <c r="A72" s="57">
        <v>519206</v>
      </c>
      <c r="B72" s="58" t="s">
        <v>8</v>
      </c>
      <c r="C72" s="8" t="s">
        <v>39</v>
      </c>
      <c r="D72" s="84">
        <v>45221</v>
      </c>
      <c r="E72" s="84">
        <v>45412</v>
      </c>
      <c r="F72" s="8" t="s">
        <v>77</v>
      </c>
      <c r="G72" s="84">
        <v>30317</v>
      </c>
      <c r="H72" s="21">
        <f t="shared" si="5"/>
        <v>40</v>
      </c>
      <c r="I72" s="8">
        <v>2</v>
      </c>
      <c r="J72" s="8">
        <v>32</v>
      </c>
      <c r="K72" s="8" t="s">
        <v>30</v>
      </c>
      <c r="L72" s="8" t="s">
        <v>78</v>
      </c>
      <c r="M72" s="8"/>
      <c r="N72" s="8"/>
      <c r="O72" s="8"/>
      <c r="P72" s="81">
        <f>29+2/7</f>
        <v>29.285714285714285</v>
      </c>
      <c r="Q72" s="8">
        <v>2</v>
      </c>
      <c r="R72" s="8">
        <v>0</v>
      </c>
      <c r="S72" s="8">
        <v>1</v>
      </c>
      <c r="T72" s="5" t="s">
        <v>80</v>
      </c>
      <c r="U72" s="5" t="s">
        <v>95</v>
      </c>
      <c r="V72" s="5" t="s">
        <v>78</v>
      </c>
      <c r="W72" s="5" t="s">
        <v>559</v>
      </c>
      <c r="X72" s="5" t="s">
        <v>82</v>
      </c>
      <c r="Y72" s="5" t="s">
        <v>351</v>
      </c>
      <c r="Z72" s="8" t="s">
        <v>39</v>
      </c>
      <c r="AA72" s="12">
        <v>45471</v>
      </c>
      <c r="AB72" s="80">
        <v>39</v>
      </c>
      <c r="AC72" s="5"/>
      <c r="AD72" s="5" t="s">
        <v>134</v>
      </c>
      <c r="AE72" s="15">
        <f t="shared" si="4"/>
        <v>59</v>
      </c>
      <c r="AF72" s="5">
        <v>0</v>
      </c>
      <c r="AG72" s="5"/>
      <c r="AH72" s="5" t="s">
        <v>80</v>
      </c>
      <c r="AI72" s="5" t="s">
        <v>94</v>
      </c>
      <c r="AJ72" s="5" t="s">
        <v>82</v>
      </c>
      <c r="AK72" s="5" t="s">
        <v>351</v>
      </c>
      <c r="AL72" s="5" t="s">
        <v>134</v>
      </c>
      <c r="AM72" s="80">
        <f>39</f>
        <v>39</v>
      </c>
      <c r="AN72" s="5"/>
    </row>
    <row r="73" spans="1:40" ht="30" x14ac:dyDescent="0.25">
      <c r="A73" s="57">
        <v>519588</v>
      </c>
      <c r="B73" s="6" t="s">
        <v>7</v>
      </c>
      <c r="C73" s="51" t="s">
        <v>4</v>
      </c>
      <c r="D73" s="52">
        <v>45218</v>
      </c>
      <c r="E73" s="52">
        <v>45426</v>
      </c>
      <c r="F73" s="51" t="s">
        <v>77</v>
      </c>
      <c r="G73" s="52">
        <v>33908</v>
      </c>
      <c r="H73" s="39">
        <f t="shared" si="5"/>
        <v>30</v>
      </c>
      <c r="I73" s="51">
        <v>1</v>
      </c>
      <c r="J73" s="51">
        <v>21</v>
      </c>
      <c r="K73" s="51" t="s">
        <v>30</v>
      </c>
      <c r="L73" s="51" t="s">
        <v>78</v>
      </c>
      <c r="M73" s="51"/>
      <c r="N73" s="51" t="s">
        <v>92</v>
      </c>
      <c r="O73" s="51"/>
      <c r="P73" s="85">
        <f>33+1/7</f>
        <v>33.142857142857146</v>
      </c>
      <c r="Q73" s="51">
        <v>3</v>
      </c>
      <c r="R73" s="51">
        <v>1</v>
      </c>
      <c r="S73" s="51" t="s">
        <v>102</v>
      </c>
      <c r="T73" s="9" t="s">
        <v>80</v>
      </c>
      <c r="U73" s="6" t="s">
        <v>165</v>
      </c>
      <c r="V73" s="9" t="s">
        <v>77</v>
      </c>
      <c r="W73" s="13" t="s">
        <v>558</v>
      </c>
      <c r="X73" s="6" t="s">
        <v>82</v>
      </c>
      <c r="Y73" s="6" t="s">
        <v>205</v>
      </c>
      <c r="Z73" s="8" t="s">
        <v>4</v>
      </c>
      <c r="AA73" s="12">
        <v>45431</v>
      </c>
      <c r="AB73" s="82">
        <f>33+6/7</f>
        <v>33.857142857142854</v>
      </c>
      <c r="AC73" s="9"/>
      <c r="AD73" s="13" t="s">
        <v>564</v>
      </c>
      <c r="AE73" s="15">
        <f t="shared" si="4"/>
        <v>5</v>
      </c>
      <c r="AF73" s="15">
        <v>0</v>
      </c>
      <c r="AG73" s="5"/>
      <c r="AH73" s="5" t="s">
        <v>80</v>
      </c>
      <c r="AI73" s="13" t="s">
        <v>173</v>
      </c>
      <c r="AJ73" s="6" t="s">
        <v>82</v>
      </c>
      <c r="AK73" s="6" t="s">
        <v>204</v>
      </c>
      <c r="AL73" s="6" t="s">
        <v>329</v>
      </c>
      <c r="AM73" s="83">
        <v>34</v>
      </c>
      <c r="AN73" s="6" t="s">
        <v>329</v>
      </c>
    </row>
    <row r="74" spans="1:40" x14ac:dyDescent="0.25">
      <c r="A74" s="59">
        <v>519611</v>
      </c>
      <c r="B74" s="59" t="s">
        <v>3</v>
      </c>
      <c r="C74" s="8" t="s">
        <v>5</v>
      </c>
      <c r="D74" s="84">
        <v>45182</v>
      </c>
      <c r="E74" s="84">
        <v>45413</v>
      </c>
      <c r="F74" s="8" t="s">
        <v>77</v>
      </c>
      <c r="G74" s="84">
        <v>32263</v>
      </c>
      <c r="H74" s="21">
        <f t="shared" si="5"/>
        <v>35</v>
      </c>
      <c r="I74" s="8">
        <v>3</v>
      </c>
      <c r="J74" s="8">
        <v>36</v>
      </c>
      <c r="K74" s="8" t="s">
        <v>30</v>
      </c>
      <c r="L74" s="8" t="s">
        <v>78</v>
      </c>
      <c r="M74" s="8"/>
      <c r="N74" s="8" t="s">
        <v>92</v>
      </c>
      <c r="O74" s="8"/>
      <c r="P74" s="81">
        <f>35</f>
        <v>35</v>
      </c>
      <c r="Q74" s="8">
        <v>7</v>
      </c>
      <c r="R74" s="8">
        <v>0</v>
      </c>
      <c r="S74" s="8" t="s">
        <v>98</v>
      </c>
      <c r="T74" s="6" t="s">
        <v>80</v>
      </c>
      <c r="U74" s="6" t="s">
        <v>95</v>
      </c>
      <c r="V74" s="5" t="s">
        <v>77</v>
      </c>
      <c r="W74" s="5" t="s">
        <v>559</v>
      </c>
      <c r="X74" s="6" t="s">
        <v>82</v>
      </c>
      <c r="Y74" s="5" t="s">
        <v>373</v>
      </c>
      <c r="Z74" s="8" t="s">
        <v>39</v>
      </c>
      <c r="AA74" s="12">
        <v>45426</v>
      </c>
      <c r="AB74" s="80">
        <f>36+6/7</f>
        <v>36.857142857142854</v>
      </c>
      <c r="AC74" s="5"/>
      <c r="AD74" s="5" t="s">
        <v>207</v>
      </c>
      <c r="AE74" s="15">
        <f t="shared" si="4"/>
        <v>13</v>
      </c>
      <c r="AF74" s="15">
        <v>0</v>
      </c>
      <c r="AG74" s="5"/>
      <c r="AH74" s="6" t="s">
        <v>80</v>
      </c>
      <c r="AI74" s="5" t="s">
        <v>94</v>
      </c>
      <c r="AJ74" s="6" t="s">
        <v>82</v>
      </c>
      <c r="AK74" s="6" t="s">
        <v>83</v>
      </c>
      <c r="AL74" s="6" t="s">
        <v>207</v>
      </c>
      <c r="AM74" s="80">
        <v>37</v>
      </c>
      <c r="AN74" s="5" t="s">
        <v>268</v>
      </c>
    </row>
    <row r="75" spans="1:40" ht="30" x14ac:dyDescent="0.25">
      <c r="A75" s="59">
        <v>519933</v>
      </c>
      <c r="B75" s="59" t="s">
        <v>3</v>
      </c>
      <c r="C75" s="8" t="s">
        <v>39</v>
      </c>
      <c r="D75" s="84">
        <v>45207</v>
      </c>
      <c r="E75" s="84">
        <v>45418</v>
      </c>
      <c r="F75" s="8" t="s">
        <v>77</v>
      </c>
      <c r="G75" s="84">
        <v>31131</v>
      </c>
      <c r="H75" s="21">
        <f t="shared" si="5"/>
        <v>38</v>
      </c>
      <c r="I75" s="8">
        <v>3</v>
      </c>
      <c r="J75" s="8">
        <v>26</v>
      </c>
      <c r="K75" s="8" t="s">
        <v>30</v>
      </c>
      <c r="L75" s="8" t="s">
        <v>78</v>
      </c>
      <c r="M75" s="8"/>
      <c r="N75" s="8"/>
      <c r="O75" s="8"/>
      <c r="P75" s="81">
        <f>32+1/7</f>
        <v>32.142857142857146</v>
      </c>
      <c r="Q75" s="8">
        <v>3</v>
      </c>
      <c r="R75" s="8">
        <v>0</v>
      </c>
      <c r="S75" s="8" t="s">
        <v>100</v>
      </c>
      <c r="T75" s="5" t="s">
        <v>80</v>
      </c>
      <c r="U75" s="5" t="s">
        <v>95</v>
      </c>
      <c r="V75" s="5" t="s">
        <v>78</v>
      </c>
      <c r="W75" s="13" t="s">
        <v>558</v>
      </c>
      <c r="X75" s="5" t="s">
        <v>82</v>
      </c>
      <c r="Y75" s="5" t="s">
        <v>373</v>
      </c>
      <c r="Z75" s="8" t="s">
        <v>39</v>
      </c>
      <c r="AA75" s="12">
        <v>45446</v>
      </c>
      <c r="AB75" s="80">
        <f>36+1/7</f>
        <v>36.142857142857146</v>
      </c>
      <c r="AC75" s="5" t="s">
        <v>99</v>
      </c>
      <c r="AD75" s="27" t="s">
        <v>576</v>
      </c>
      <c r="AE75" s="15">
        <f t="shared" si="4"/>
        <v>28</v>
      </c>
      <c r="AF75" s="15">
        <v>0</v>
      </c>
      <c r="AG75" s="5"/>
      <c r="AH75" s="5" t="s">
        <v>80</v>
      </c>
      <c r="AI75" s="13" t="s">
        <v>88</v>
      </c>
      <c r="AJ75" s="5" t="s">
        <v>82</v>
      </c>
      <c r="AK75" s="5" t="s">
        <v>83</v>
      </c>
      <c r="AL75" s="6" t="s">
        <v>343</v>
      </c>
      <c r="AM75" s="83">
        <f>36+3/7</f>
        <v>36.428571428571431</v>
      </c>
      <c r="AN75" s="6" t="s">
        <v>496</v>
      </c>
    </row>
    <row r="76" spans="1:40" x14ac:dyDescent="0.25">
      <c r="A76" s="57">
        <v>520145</v>
      </c>
      <c r="B76" s="58" t="s">
        <v>8</v>
      </c>
      <c r="C76" s="8" t="s">
        <v>39</v>
      </c>
      <c r="D76" s="84">
        <v>45241</v>
      </c>
      <c r="E76" s="84">
        <v>45429</v>
      </c>
      <c r="F76" s="8" t="s">
        <v>77</v>
      </c>
      <c r="G76" s="84">
        <v>28942</v>
      </c>
      <c r="H76" s="21">
        <f t="shared" si="5"/>
        <v>44</v>
      </c>
      <c r="I76" s="8">
        <v>3</v>
      </c>
      <c r="J76" s="8">
        <v>27</v>
      </c>
      <c r="K76" s="8" t="s">
        <v>30</v>
      </c>
      <c r="L76" s="8" t="s">
        <v>78</v>
      </c>
      <c r="M76" s="8"/>
      <c r="N76" s="8"/>
      <c r="O76" s="8"/>
      <c r="P76" s="81">
        <f>28+6/7</f>
        <v>28.857142857142858</v>
      </c>
      <c r="Q76" s="8">
        <v>2</v>
      </c>
      <c r="R76" s="8">
        <v>0</v>
      </c>
      <c r="S76" s="8">
        <v>1</v>
      </c>
      <c r="T76" s="5" t="s">
        <v>80</v>
      </c>
      <c r="U76" s="5" t="s">
        <v>95</v>
      </c>
      <c r="V76" s="5" t="s">
        <v>78</v>
      </c>
      <c r="W76" s="5" t="s">
        <v>559</v>
      </c>
      <c r="X76" s="5" t="s">
        <v>82</v>
      </c>
      <c r="Y76" s="5" t="s">
        <v>351</v>
      </c>
      <c r="Z76" s="8" t="s">
        <v>39</v>
      </c>
      <c r="AA76" s="12">
        <v>45512</v>
      </c>
      <c r="AB76" s="80">
        <v>41</v>
      </c>
      <c r="AC76" s="5"/>
      <c r="AD76" s="5" t="s">
        <v>207</v>
      </c>
      <c r="AE76" s="15">
        <f t="shared" si="4"/>
        <v>83</v>
      </c>
      <c r="AF76" s="5">
        <v>0</v>
      </c>
      <c r="AG76" s="5"/>
      <c r="AH76" s="5" t="s">
        <v>80</v>
      </c>
      <c r="AI76" s="5" t="s">
        <v>334</v>
      </c>
      <c r="AJ76" s="5" t="s">
        <v>82</v>
      </c>
      <c r="AK76" s="5" t="s">
        <v>351</v>
      </c>
      <c r="AL76" s="5" t="s">
        <v>347</v>
      </c>
      <c r="AM76" s="80">
        <v>41</v>
      </c>
      <c r="AN76" s="5" t="s">
        <v>347</v>
      </c>
    </row>
    <row r="77" spans="1:40" x14ac:dyDescent="0.25">
      <c r="A77" s="57">
        <v>520148</v>
      </c>
      <c r="B77" s="58" t="s">
        <v>8</v>
      </c>
      <c r="C77" s="8" t="s">
        <v>39</v>
      </c>
      <c r="D77" s="84">
        <v>45234</v>
      </c>
      <c r="E77" s="84">
        <v>45434</v>
      </c>
      <c r="F77" s="8" t="s">
        <v>77</v>
      </c>
      <c r="G77" s="84">
        <v>36886</v>
      </c>
      <c r="H77" s="21">
        <f t="shared" si="5"/>
        <v>22</v>
      </c>
      <c r="I77" s="8">
        <v>1</v>
      </c>
      <c r="J77" s="8">
        <v>46</v>
      </c>
      <c r="K77" s="8" t="s">
        <v>30</v>
      </c>
      <c r="L77" s="8" t="s">
        <v>78</v>
      </c>
      <c r="M77" s="8"/>
      <c r="N77" s="8" t="s">
        <v>154</v>
      </c>
      <c r="O77" s="8"/>
      <c r="P77" s="81">
        <f>30+4/7</f>
        <v>30.571428571428573</v>
      </c>
      <c r="Q77" s="8">
        <v>2</v>
      </c>
      <c r="R77" s="8">
        <v>0</v>
      </c>
      <c r="S77" s="8">
        <v>1</v>
      </c>
      <c r="T77" s="5" t="s">
        <v>80</v>
      </c>
      <c r="U77" s="5" t="s">
        <v>95</v>
      </c>
      <c r="V77" s="5" t="s">
        <v>78</v>
      </c>
      <c r="W77" s="5" t="s">
        <v>559</v>
      </c>
      <c r="X77" s="5" t="s">
        <v>82</v>
      </c>
      <c r="Y77" s="5" t="s">
        <v>351</v>
      </c>
      <c r="Z77" s="8" t="s">
        <v>39</v>
      </c>
      <c r="AA77" s="12">
        <v>45492</v>
      </c>
      <c r="AB77" s="80">
        <f>38+4/7</f>
        <v>38.571428571428569</v>
      </c>
      <c r="AC77" s="5"/>
      <c r="AD77" s="5" t="s">
        <v>367</v>
      </c>
      <c r="AE77" s="15">
        <f t="shared" si="4"/>
        <v>58</v>
      </c>
      <c r="AF77" s="5">
        <v>0</v>
      </c>
      <c r="AG77" s="5"/>
      <c r="AH77" s="5" t="s">
        <v>80</v>
      </c>
      <c r="AI77" s="5" t="s">
        <v>334</v>
      </c>
      <c r="AJ77" s="5" t="s">
        <v>82</v>
      </c>
      <c r="AK77" s="5" t="s">
        <v>351</v>
      </c>
      <c r="AL77" s="5" t="s">
        <v>207</v>
      </c>
      <c r="AM77" s="80">
        <f>39+2/7</f>
        <v>39.285714285714285</v>
      </c>
      <c r="AN77" s="5" t="s">
        <v>368</v>
      </c>
    </row>
    <row r="78" spans="1:40" ht="30" x14ac:dyDescent="0.25">
      <c r="A78" s="57">
        <v>520317</v>
      </c>
      <c r="B78" s="58" t="s">
        <v>23</v>
      </c>
      <c r="C78" s="8" t="s">
        <v>39</v>
      </c>
      <c r="D78" s="84">
        <v>45319</v>
      </c>
      <c r="E78" s="84">
        <v>45502</v>
      </c>
      <c r="F78" s="8" t="s">
        <v>77</v>
      </c>
      <c r="G78" s="84">
        <v>29953</v>
      </c>
      <c r="H78" s="21">
        <f t="shared" si="5"/>
        <v>42</v>
      </c>
      <c r="I78" s="8">
        <v>2</v>
      </c>
      <c r="J78" s="8">
        <v>59</v>
      </c>
      <c r="K78" s="8" t="s">
        <v>30</v>
      </c>
      <c r="L78" s="8" t="s">
        <v>78</v>
      </c>
      <c r="M78" s="8"/>
      <c r="N78" s="8" t="s">
        <v>181</v>
      </c>
      <c r="O78" s="66"/>
      <c r="P78" s="81">
        <f>28+1/7</f>
        <v>28.142857142857142</v>
      </c>
      <c r="Q78" s="8">
        <v>3</v>
      </c>
      <c r="R78" s="8">
        <v>0</v>
      </c>
      <c r="S78" s="8">
        <v>1</v>
      </c>
      <c r="T78" s="5" t="s">
        <v>80</v>
      </c>
      <c r="U78" s="5" t="s">
        <v>95</v>
      </c>
      <c r="V78" s="5" t="s">
        <v>78</v>
      </c>
      <c r="W78" s="13" t="s">
        <v>558</v>
      </c>
      <c r="X78" s="5" t="s">
        <v>82</v>
      </c>
      <c r="Y78" s="5" t="s">
        <v>373</v>
      </c>
      <c r="Z78" s="8" t="s">
        <v>39</v>
      </c>
      <c r="AA78" s="12">
        <v>45577</v>
      </c>
      <c r="AB78" s="80">
        <f>38+6/7</f>
        <v>38.857142857142854</v>
      </c>
      <c r="AC78" s="5"/>
      <c r="AD78" s="5" t="s">
        <v>207</v>
      </c>
      <c r="AE78" s="15">
        <f t="shared" si="4"/>
        <v>75</v>
      </c>
      <c r="AF78" s="5">
        <v>1</v>
      </c>
      <c r="AG78" s="13" t="s">
        <v>415</v>
      </c>
      <c r="AH78" s="5" t="s">
        <v>80</v>
      </c>
      <c r="AI78" s="13" t="s">
        <v>487</v>
      </c>
      <c r="AJ78" s="5" t="s">
        <v>486</v>
      </c>
      <c r="AK78" s="5" t="s">
        <v>373</v>
      </c>
      <c r="AL78" s="6" t="s">
        <v>207</v>
      </c>
      <c r="AM78" s="80">
        <v>39</v>
      </c>
      <c r="AN78" s="13" t="s">
        <v>488</v>
      </c>
    </row>
    <row r="79" spans="1:40" ht="30" x14ac:dyDescent="0.25">
      <c r="A79" s="59">
        <v>520352</v>
      </c>
      <c r="B79" s="59" t="s">
        <v>3</v>
      </c>
      <c r="C79" s="86" t="s">
        <v>6</v>
      </c>
      <c r="D79" s="87">
        <v>45224</v>
      </c>
      <c r="E79" s="87">
        <v>45427</v>
      </c>
      <c r="F79" s="86" t="s">
        <v>77</v>
      </c>
      <c r="G79" s="87">
        <v>30988</v>
      </c>
      <c r="H79" s="88">
        <f t="shared" si="5"/>
        <v>38</v>
      </c>
      <c r="I79" s="86">
        <v>1</v>
      </c>
      <c r="J79" s="86">
        <v>25</v>
      </c>
      <c r="K79" s="86" t="s">
        <v>135</v>
      </c>
      <c r="L79" s="86" t="s">
        <v>78</v>
      </c>
      <c r="M79" s="86" t="s">
        <v>4</v>
      </c>
      <c r="N79" s="86"/>
      <c r="O79" s="103"/>
      <c r="P79" s="89">
        <v>31</v>
      </c>
      <c r="Q79" s="86">
        <v>3</v>
      </c>
      <c r="R79" s="86">
        <v>0</v>
      </c>
      <c r="S79" s="86" t="s">
        <v>98</v>
      </c>
      <c r="T79" s="6" t="s">
        <v>80</v>
      </c>
      <c r="U79" s="6" t="s">
        <v>95</v>
      </c>
      <c r="V79" s="5" t="s">
        <v>77</v>
      </c>
      <c r="W79" s="13" t="s">
        <v>558</v>
      </c>
      <c r="X79" s="26" t="s">
        <v>82</v>
      </c>
      <c r="Y79" s="5" t="s">
        <v>373</v>
      </c>
      <c r="Z79" s="8" t="s">
        <v>39</v>
      </c>
      <c r="AA79" s="12">
        <v>45479</v>
      </c>
      <c r="AB79" s="80">
        <f>38+3/7</f>
        <v>38.428571428571431</v>
      </c>
      <c r="AC79" s="5"/>
      <c r="AD79" s="5" t="s">
        <v>207</v>
      </c>
      <c r="AE79" s="15">
        <f t="shared" si="4"/>
        <v>52</v>
      </c>
      <c r="AF79" s="15">
        <v>0</v>
      </c>
      <c r="AG79" s="5"/>
      <c r="AH79" s="6" t="s">
        <v>80</v>
      </c>
      <c r="AI79" s="13" t="s">
        <v>163</v>
      </c>
      <c r="AJ79" s="6" t="s">
        <v>82</v>
      </c>
      <c r="AK79" s="6" t="s">
        <v>83</v>
      </c>
      <c r="AL79" s="5" t="s">
        <v>207</v>
      </c>
      <c r="AM79" s="80">
        <f>39/7</f>
        <v>5.5714285714285712</v>
      </c>
      <c r="AN79" s="5" t="s">
        <v>266</v>
      </c>
    </row>
    <row r="80" spans="1:40" ht="45" x14ac:dyDescent="0.25">
      <c r="A80" s="64">
        <v>520476</v>
      </c>
      <c r="B80" s="6" t="s">
        <v>7</v>
      </c>
      <c r="C80" s="46" t="s">
        <v>39</v>
      </c>
      <c r="D80" s="84">
        <v>45201</v>
      </c>
      <c r="E80" s="84">
        <v>45436</v>
      </c>
      <c r="F80" s="8" t="s">
        <v>77</v>
      </c>
      <c r="G80" s="84">
        <v>30532</v>
      </c>
      <c r="H80" s="21">
        <f t="shared" si="5"/>
        <v>40</v>
      </c>
      <c r="I80" s="8">
        <v>4</v>
      </c>
      <c r="J80" s="8">
        <v>43</v>
      </c>
      <c r="K80" s="8" t="s">
        <v>30</v>
      </c>
      <c r="L80" s="8" t="s">
        <v>78</v>
      </c>
      <c r="M80" s="46"/>
      <c r="N80" s="8" t="s">
        <v>181</v>
      </c>
      <c r="O80" s="66"/>
      <c r="P80" s="81">
        <f>35+4/7</f>
        <v>35.571428571428569</v>
      </c>
      <c r="Q80" s="8">
        <v>2</v>
      </c>
      <c r="R80" s="8">
        <v>1</v>
      </c>
      <c r="S80" s="8" t="s">
        <v>100</v>
      </c>
      <c r="T80" s="6" t="s">
        <v>71</v>
      </c>
      <c r="U80" s="27" t="s">
        <v>557</v>
      </c>
      <c r="V80" s="6" t="s">
        <v>78</v>
      </c>
      <c r="W80" s="6" t="s">
        <v>110</v>
      </c>
      <c r="X80" s="6" t="s">
        <v>82</v>
      </c>
      <c r="Y80" s="6" t="s">
        <v>373</v>
      </c>
      <c r="Z80" s="8" t="s">
        <v>39</v>
      </c>
      <c r="AA80" s="100">
        <v>45465</v>
      </c>
      <c r="AB80" s="83">
        <f>38+2/7</f>
        <v>38.285714285714285</v>
      </c>
      <c r="AC80" s="6"/>
      <c r="AD80" s="6" t="s">
        <v>553</v>
      </c>
      <c r="AE80" s="44">
        <f t="shared" si="4"/>
        <v>29</v>
      </c>
      <c r="AF80" s="44">
        <v>0</v>
      </c>
      <c r="AG80" s="6"/>
      <c r="AH80" s="6" t="s">
        <v>71</v>
      </c>
      <c r="AI80" s="6">
        <v>0</v>
      </c>
      <c r="AJ80" s="6" t="s">
        <v>82</v>
      </c>
      <c r="AK80" s="6" t="s">
        <v>83</v>
      </c>
      <c r="AL80" s="6" t="s">
        <v>134</v>
      </c>
      <c r="AM80" s="83">
        <f>38+2/7</f>
        <v>38.285714285714285</v>
      </c>
      <c r="AN80" s="6"/>
    </row>
    <row r="81" spans="1:40" ht="45" x14ac:dyDescent="0.25">
      <c r="A81" s="60">
        <v>521049</v>
      </c>
      <c r="B81" s="6" t="s">
        <v>7</v>
      </c>
      <c r="C81" s="90" t="s">
        <v>76</v>
      </c>
      <c r="D81" s="87">
        <v>45245</v>
      </c>
      <c r="E81" s="87">
        <v>45450</v>
      </c>
      <c r="F81" s="86" t="s">
        <v>77</v>
      </c>
      <c r="G81" s="87">
        <v>33507</v>
      </c>
      <c r="H81" s="88">
        <f t="shared" si="5"/>
        <v>32</v>
      </c>
      <c r="I81" s="86">
        <v>1</v>
      </c>
      <c r="J81" s="86">
        <v>31</v>
      </c>
      <c r="K81" s="86" t="s">
        <v>30</v>
      </c>
      <c r="L81" s="86" t="s">
        <v>78</v>
      </c>
      <c r="M81" s="86"/>
      <c r="N81" s="86"/>
      <c r="O81" s="156" t="s">
        <v>238</v>
      </c>
      <c r="P81" s="89">
        <f>31+2/7</f>
        <v>31.285714285714285</v>
      </c>
      <c r="Q81" s="86">
        <v>5</v>
      </c>
      <c r="R81" s="86">
        <v>2</v>
      </c>
      <c r="S81" s="86" t="s">
        <v>102</v>
      </c>
      <c r="T81" s="5" t="s">
        <v>84</v>
      </c>
      <c r="U81" s="5" t="s">
        <v>165</v>
      </c>
      <c r="V81" s="5" t="s">
        <v>77</v>
      </c>
      <c r="W81" s="5" t="s">
        <v>559</v>
      </c>
      <c r="X81" s="5" t="s">
        <v>82</v>
      </c>
      <c r="Y81" s="5" t="s">
        <v>373</v>
      </c>
      <c r="Z81" s="8" t="s">
        <v>6</v>
      </c>
      <c r="AA81" s="12">
        <v>45453</v>
      </c>
      <c r="AB81" s="80">
        <f>31+5/7</f>
        <v>31.714285714285715</v>
      </c>
      <c r="AC81" s="5" t="s">
        <v>233</v>
      </c>
      <c r="AD81" s="5" t="s">
        <v>566</v>
      </c>
      <c r="AE81" s="15">
        <f t="shared" si="4"/>
        <v>3</v>
      </c>
      <c r="AF81" s="15">
        <v>0</v>
      </c>
      <c r="AG81" s="13" t="s">
        <v>239</v>
      </c>
      <c r="AH81" s="5" t="s">
        <v>84</v>
      </c>
      <c r="AI81" s="5" t="s">
        <v>94</v>
      </c>
      <c r="AJ81" s="5" t="s">
        <v>82</v>
      </c>
      <c r="AK81" s="5" t="s">
        <v>240</v>
      </c>
      <c r="AL81" s="6" t="s">
        <v>4</v>
      </c>
      <c r="AM81" s="83">
        <f>31+6/7</f>
        <v>31.857142857142858</v>
      </c>
      <c r="AN81" s="6" t="s">
        <v>4</v>
      </c>
    </row>
    <row r="82" spans="1:40" x14ac:dyDescent="0.25">
      <c r="A82" s="60">
        <v>521361</v>
      </c>
      <c r="B82" s="58" t="s">
        <v>8</v>
      </c>
      <c r="C82" s="8" t="s">
        <v>39</v>
      </c>
      <c r="D82" s="84">
        <v>45273</v>
      </c>
      <c r="E82" s="84">
        <v>45461</v>
      </c>
      <c r="F82" s="8" t="s">
        <v>77</v>
      </c>
      <c r="G82" s="84">
        <v>32031</v>
      </c>
      <c r="H82" s="21">
        <f t="shared" si="5"/>
        <v>36</v>
      </c>
      <c r="I82" s="8">
        <v>2</v>
      </c>
      <c r="J82" s="8">
        <v>32</v>
      </c>
      <c r="K82" s="8" t="s">
        <v>30</v>
      </c>
      <c r="L82" s="8" t="s">
        <v>78</v>
      </c>
      <c r="M82" s="8" t="s">
        <v>4</v>
      </c>
      <c r="N82" s="8" t="s">
        <v>154</v>
      </c>
      <c r="O82" s="66"/>
      <c r="P82" s="81">
        <f>28+6/7</f>
        <v>28.857142857142858</v>
      </c>
      <c r="Q82" s="8">
        <v>2</v>
      </c>
      <c r="R82" s="8">
        <v>0</v>
      </c>
      <c r="S82" s="8">
        <v>1</v>
      </c>
      <c r="T82" s="5" t="s">
        <v>80</v>
      </c>
      <c r="U82" s="5" t="s">
        <v>95</v>
      </c>
      <c r="V82" s="5" t="s">
        <v>78</v>
      </c>
      <c r="W82" s="5" t="s">
        <v>559</v>
      </c>
      <c r="X82" s="5" t="s">
        <v>82</v>
      </c>
      <c r="Y82" s="5" t="s">
        <v>351</v>
      </c>
      <c r="Z82" s="8" t="s">
        <v>39</v>
      </c>
      <c r="AA82" s="12">
        <v>45530</v>
      </c>
      <c r="AB82" s="80">
        <f>38+6/7</f>
        <v>38.857142857142854</v>
      </c>
      <c r="AC82" s="5" t="s">
        <v>92</v>
      </c>
      <c r="AD82" s="5" t="s">
        <v>367</v>
      </c>
      <c r="AE82" s="15">
        <f t="shared" si="4"/>
        <v>69</v>
      </c>
      <c r="AF82" s="5">
        <v>0</v>
      </c>
      <c r="AG82" s="5"/>
      <c r="AH82" s="5" t="s">
        <v>80</v>
      </c>
      <c r="AI82" s="5" t="s">
        <v>94</v>
      </c>
      <c r="AJ82" s="5" t="s">
        <v>82</v>
      </c>
      <c r="AK82" s="5" t="s">
        <v>351</v>
      </c>
      <c r="AL82" s="5" t="s">
        <v>207</v>
      </c>
      <c r="AM82" s="80">
        <v>39</v>
      </c>
      <c r="AN82" s="5" t="s">
        <v>389</v>
      </c>
    </row>
    <row r="83" spans="1:40" x14ac:dyDescent="0.25">
      <c r="A83" s="59">
        <v>521825</v>
      </c>
      <c r="B83" s="59" t="s">
        <v>3</v>
      </c>
      <c r="C83" s="51" t="s">
        <v>4</v>
      </c>
      <c r="D83" s="191">
        <v>45221</v>
      </c>
      <c r="E83" s="52">
        <v>45456</v>
      </c>
      <c r="F83" s="51" t="s">
        <v>77</v>
      </c>
      <c r="G83" s="52">
        <v>33880</v>
      </c>
      <c r="H83" s="39">
        <f t="shared" si="5"/>
        <v>31</v>
      </c>
      <c r="I83" s="51">
        <v>2</v>
      </c>
      <c r="J83" s="51">
        <v>23</v>
      </c>
      <c r="K83" s="51" t="s">
        <v>30</v>
      </c>
      <c r="L83" s="51" t="s">
        <v>78</v>
      </c>
      <c r="M83" s="40" t="s">
        <v>4</v>
      </c>
      <c r="N83" s="51"/>
      <c r="O83" s="93"/>
      <c r="P83" s="85">
        <f>35+4/7</f>
        <v>35.571428571428569</v>
      </c>
      <c r="Q83" s="51">
        <v>7</v>
      </c>
      <c r="R83" s="51">
        <v>0</v>
      </c>
      <c r="S83" s="51" t="s">
        <v>102</v>
      </c>
      <c r="T83" s="6" t="s">
        <v>80</v>
      </c>
      <c r="U83" s="6" t="s">
        <v>165</v>
      </c>
      <c r="V83" s="5" t="s">
        <v>78</v>
      </c>
      <c r="W83" s="5" t="s">
        <v>559</v>
      </c>
      <c r="X83" s="6" t="s">
        <v>82</v>
      </c>
      <c r="Y83" s="6" t="s">
        <v>185</v>
      </c>
      <c r="Z83" s="8" t="s">
        <v>4</v>
      </c>
      <c r="AA83" s="12">
        <v>45465</v>
      </c>
      <c r="AB83" s="80">
        <f>36+6/7</f>
        <v>36.857142857142854</v>
      </c>
      <c r="AC83" s="5"/>
      <c r="AD83" s="5" t="s">
        <v>207</v>
      </c>
      <c r="AE83" s="15">
        <f t="shared" si="4"/>
        <v>9</v>
      </c>
      <c r="AF83" s="15">
        <v>0</v>
      </c>
      <c r="AG83" s="5"/>
      <c r="AH83" s="6" t="s">
        <v>80</v>
      </c>
      <c r="AI83" s="5" t="s">
        <v>94</v>
      </c>
      <c r="AJ83" s="5" t="s">
        <v>82</v>
      </c>
      <c r="AK83" s="5" t="s">
        <v>186</v>
      </c>
      <c r="AL83" s="6" t="s">
        <v>207</v>
      </c>
      <c r="AM83" s="80">
        <v>37</v>
      </c>
      <c r="AN83" s="5" t="s">
        <v>4</v>
      </c>
    </row>
    <row r="84" spans="1:40" ht="30" x14ac:dyDescent="0.25">
      <c r="A84" s="59">
        <v>521859</v>
      </c>
      <c r="B84" s="59" t="s">
        <v>3</v>
      </c>
      <c r="C84" s="51" t="s">
        <v>4</v>
      </c>
      <c r="D84" s="52">
        <v>45238</v>
      </c>
      <c r="E84" s="52">
        <v>45462</v>
      </c>
      <c r="F84" s="51" t="s">
        <v>77</v>
      </c>
      <c r="G84" s="52">
        <v>34321</v>
      </c>
      <c r="H84" s="39">
        <f t="shared" si="5"/>
        <v>29</v>
      </c>
      <c r="I84" s="51">
        <v>0</v>
      </c>
      <c r="J84" s="51">
        <v>32</v>
      </c>
      <c r="K84" s="51" t="s">
        <v>30</v>
      </c>
      <c r="L84" s="51" t="s">
        <v>78</v>
      </c>
      <c r="M84" s="51"/>
      <c r="N84" s="51" t="s">
        <v>154</v>
      </c>
      <c r="O84" s="51"/>
      <c r="P84" s="85">
        <v>34</v>
      </c>
      <c r="Q84" s="51">
        <v>7</v>
      </c>
      <c r="R84" s="51">
        <v>0</v>
      </c>
      <c r="S84" s="51" t="s">
        <v>102</v>
      </c>
      <c r="T84" s="6" t="s">
        <v>80</v>
      </c>
      <c r="U84" s="6" t="s">
        <v>165</v>
      </c>
      <c r="V84" s="5" t="s">
        <v>77</v>
      </c>
      <c r="W84" s="13" t="s">
        <v>558</v>
      </c>
      <c r="X84" s="6" t="s">
        <v>82</v>
      </c>
      <c r="Y84" s="6" t="s">
        <v>188</v>
      </c>
      <c r="Z84" s="8" t="s">
        <v>4</v>
      </c>
      <c r="AA84" s="12">
        <v>45475</v>
      </c>
      <c r="AB84" s="80">
        <f>35+6/7</f>
        <v>35.857142857142854</v>
      </c>
      <c r="AC84" s="5"/>
      <c r="AD84" s="27" t="s">
        <v>567</v>
      </c>
      <c r="AE84" s="15">
        <f t="shared" si="4"/>
        <v>13</v>
      </c>
      <c r="AF84" s="15">
        <v>0</v>
      </c>
      <c r="AG84" s="5"/>
      <c r="AH84" s="6" t="s">
        <v>80</v>
      </c>
      <c r="AI84" s="13" t="s">
        <v>153</v>
      </c>
      <c r="AJ84" s="5" t="s">
        <v>158</v>
      </c>
      <c r="AK84" s="5" t="s">
        <v>159</v>
      </c>
      <c r="AL84" s="6" t="s">
        <v>343</v>
      </c>
      <c r="AM84" s="83">
        <f>36+2/7</f>
        <v>36.285714285714285</v>
      </c>
      <c r="AN84" s="27" t="s">
        <v>500</v>
      </c>
    </row>
    <row r="85" spans="1:40" ht="30" x14ac:dyDescent="0.25">
      <c r="A85" s="59">
        <v>521930</v>
      </c>
      <c r="B85" s="59" t="s">
        <v>3</v>
      </c>
      <c r="C85" s="51" t="s">
        <v>4</v>
      </c>
      <c r="D85" s="52">
        <v>45225</v>
      </c>
      <c r="E85" s="52">
        <v>45457</v>
      </c>
      <c r="F85" s="51" t="s">
        <v>77</v>
      </c>
      <c r="G85" s="52">
        <v>32401</v>
      </c>
      <c r="H85" s="39">
        <f t="shared" si="5"/>
        <v>35</v>
      </c>
      <c r="I85" s="51">
        <v>0</v>
      </c>
      <c r="J85" s="51">
        <v>35</v>
      </c>
      <c r="K85" s="51" t="s">
        <v>30</v>
      </c>
      <c r="L85" s="51" t="s">
        <v>78</v>
      </c>
      <c r="M85" s="51"/>
      <c r="N85" s="51"/>
      <c r="O85" s="51"/>
      <c r="P85" s="85">
        <f>35+1/7</f>
        <v>35.142857142857146</v>
      </c>
      <c r="Q85" s="51">
        <v>7</v>
      </c>
      <c r="R85" s="51">
        <v>0</v>
      </c>
      <c r="S85" s="51" t="s">
        <v>98</v>
      </c>
      <c r="T85" s="6" t="s">
        <v>80</v>
      </c>
      <c r="U85" s="6" t="s">
        <v>155</v>
      </c>
      <c r="V85" s="5" t="s">
        <v>77</v>
      </c>
      <c r="W85" s="13" t="s">
        <v>558</v>
      </c>
      <c r="X85" s="26" t="s">
        <v>82</v>
      </c>
      <c r="Y85" s="6" t="s">
        <v>191</v>
      </c>
      <c r="Z85" s="8" t="s">
        <v>4</v>
      </c>
      <c r="AA85" s="12">
        <v>45461</v>
      </c>
      <c r="AB85" s="80">
        <f>35+5/7</f>
        <v>35.714285714285715</v>
      </c>
      <c r="AC85" s="5"/>
      <c r="AD85" s="27" t="s">
        <v>567</v>
      </c>
      <c r="AE85" s="15">
        <f t="shared" si="4"/>
        <v>4</v>
      </c>
      <c r="AF85" s="15">
        <v>0</v>
      </c>
      <c r="AG85" s="5"/>
      <c r="AH85" s="6" t="s">
        <v>80</v>
      </c>
      <c r="AI85" s="13" t="s">
        <v>153</v>
      </c>
      <c r="AJ85" s="6" t="s">
        <v>82</v>
      </c>
      <c r="AK85" s="6" t="s">
        <v>175</v>
      </c>
      <c r="AL85" s="5" t="s">
        <v>343</v>
      </c>
      <c r="AM85" s="83">
        <v>37</v>
      </c>
      <c r="AN85" s="6" t="s">
        <v>4</v>
      </c>
    </row>
    <row r="86" spans="1:40" ht="30" x14ac:dyDescent="0.25">
      <c r="A86" s="59">
        <v>522270</v>
      </c>
      <c r="B86" s="59" t="s">
        <v>3</v>
      </c>
      <c r="C86" s="51" t="s">
        <v>4</v>
      </c>
      <c r="D86" s="52">
        <v>45392</v>
      </c>
      <c r="E86" s="52">
        <v>45470</v>
      </c>
      <c r="F86" s="51" t="s">
        <v>77</v>
      </c>
      <c r="G86" s="52">
        <v>30963</v>
      </c>
      <c r="H86" s="39">
        <f t="shared" si="5"/>
        <v>39</v>
      </c>
      <c r="I86" s="51">
        <v>2</v>
      </c>
      <c r="J86" s="51">
        <v>24</v>
      </c>
      <c r="K86" s="51" t="s">
        <v>166</v>
      </c>
      <c r="L86" s="51" t="s">
        <v>167</v>
      </c>
      <c r="M86" s="51"/>
      <c r="N86" s="51" t="s">
        <v>92</v>
      </c>
      <c r="O86" s="40" t="s">
        <v>556</v>
      </c>
      <c r="P86" s="85">
        <f>34+5/7</f>
        <v>34.714285714285715</v>
      </c>
      <c r="Q86" s="51">
        <v>7</v>
      </c>
      <c r="R86" s="51">
        <v>0</v>
      </c>
      <c r="S86" s="51" t="s">
        <v>102</v>
      </c>
      <c r="T86" s="27" t="s">
        <v>84</v>
      </c>
      <c r="U86" s="6" t="s">
        <v>165</v>
      </c>
      <c r="V86" s="5" t="s">
        <v>77</v>
      </c>
      <c r="W86" s="13" t="s">
        <v>558</v>
      </c>
      <c r="X86" s="6" t="s">
        <v>82</v>
      </c>
      <c r="Y86" s="6" t="s">
        <v>192</v>
      </c>
      <c r="Z86" s="8" t="s">
        <v>4</v>
      </c>
      <c r="AA86" s="12">
        <v>45475</v>
      </c>
      <c r="AB86" s="80">
        <f>35+2/7</f>
        <v>35.285714285714285</v>
      </c>
      <c r="AC86" s="5"/>
      <c r="AD86" s="6" t="s">
        <v>566</v>
      </c>
      <c r="AE86" s="15">
        <f t="shared" si="4"/>
        <v>5</v>
      </c>
      <c r="AF86" s="15">
        <v>0</v>
      </c>
      <c r="AG86" s="27" t="s">
        <v>172</v>
      </c>
      <c r="AH86" s="27" t="s">
        <v>84</v>
      </c>
      <c r="AI86" s="13" t="s">
        <v>163</v>
      </c>
      <c r="AJ86" s="6" t="s">
        <v>82</v>
      </c>
      <c r="AK86" s="6" t="s">
        <v>175</v>
      </c>
      <c r="AL86" s="5" t="s">
        <v>84</v>
      </c>
      <c r="AM86" s="83" t="s">
        <v>208</v>
      </c>
      <c r="AN86" s="6" t="s">
        <v>501</v>
      </c>
    </row>
    <row r="87" spans="1:40" ht="30" x14ac:dyDescent="0.25">
      <c r="A87" s="59">
        <v>522367</v>
      </c>
      <c r="B87" s="59" t="s">
        <v>3</v>
      </c>
      <c r="C87" s="8" t="s">
        <v>39</v>
      </c>
      <c r="D87" s="84">
        <v>45291</v>
      </c>
      <c r="E87" s="84">
        <v>45474</v>
      </c>
      <c r="F87" s="8" t="s">
        <v>77</v>
      </c>
      <c r="G87" s="84">
        <v>30576</v>
      </c>
      <c r="H87" s="21">
        <f t="shared" si="5"/>
        <v>40</v>
      </c>
      <c r="I87" s="8">
        <v>4</v>
      </c>
      <c r="J87" s="8">
        <v>29</v>
      </c>
      <c r="K87" s="8" t="s">
        <v>30</v>
      </c>
      <c r="L87" s="8" t="s">
        <v>78</v>
      </c>
      <c r="M87" s="46" t="s">
        <v>541</v>
      </c>
      <c r="N87" s="46"/>
      <c r="O87" s="8"/>
      <c r="P87" s="81">
        <f>28+1/7</f>
        <v>28.142857142857142</v>
      </c>
      <c r="Q87" s="8">
        <v>2</v>
      </c>
      <c r="R87" s="8">
        <v>0</v>
      </c>
      <c r="S87" s="8" t="s">
        <v>98</v>
      </c>
      <c r="T87" s="6" t="s">
        <v>80</v>
      </c>
      <c r="U87" s="6" t="s">
        <v>95</v>
      </c>
      <c r="V87" s="5" t="s">
        <v>78</v>
      </c>
      <c r="W87" s="13" t="s">
        <v>560</v>
      </c>
      <c r="X87" s="6" t="s">
        <v>82</v>
      </c>
      <c r="Y87" s="5" t="s">
        <v>373</v>
      </c>
      <c r="Z87" s="8" t="s">
        <v>39</v>
      </c>
      <c r="AA87" s="12">
        <v>45529</v>
      </c>
      <c r="AB87" s="80">
        <v>36</v>
      </c>
      <c r="AC87" s="5"/>
      <c r="AD87" s="13" t="s">
        <v>577</v>
      </c>
      <c r="AE87" s="15">
        <f t="shared" si="4"/>
        <v>55</v>
      </c>
      <c r="AF87" s="15">
        <v>0</v>
      </c>
      <c r="AG87" s="5"/>
      <c r="AH87" s="6" t="s">
        <v>71</v>
      </c>
      <c r="AI87" s="13" t="s">
        <v>153</v>
      </c>
      <c r="AJ87" s="6" t="s">
        <v>82</v>
      </c>
      <c r="AK87" s="6" t="s">
        <v>83</v>
      </c>
      <c r="AL87" s="6" t="s">
        <v>332</v>
      </c>
      <c r="AM87" s="83">
        <f>37+3/7</f>
        <v>37.428571428571431</v>
      </c>
      <c r="AN87" s="6" t="s">
        <v>499</v>
      </c>
    </row>
    <row r="88" spans="1:40" ht="30" x14ac:dyDescent="0.25">
      <c r="A88" s="59">
        <v>522718</v>
      </c>
      <c r="B88" s="59" t="s">
        <v>3</v>
      </c>
      <c r="C88" s="8" t="s">
        <v>39</v>
      </c>
      <c r="D88" s="84">
        <v>45231</v>
      </c>
      <c r="E88" s="84">
        <v>45475</v>
      </c>
      <c r="F88" s="8" t="s">
        <v>77</v>
      </c>
      <c r="G88" s="84">
        <v>30401</v>
      </c>
      <c r="H88" s="21">
        <f t="shared" si="5"/>
        <v>40</v>
      </c>
      <c r="I88" s="8">
        <v>1</v>
      </c>
      <c r="J88" s="8">
        <v>26</v>
      </c>
      <c r="K88" s="8" t="s">
        <v>30</v>
      </c>
      <c r="L88" s="8" t="s">
        <v>78</v>
      </c>
      <c r="M88" s="46" t="s">
        <v>540</v>
      </c>
      <c r="N88" s="46"/>
      <c r="O88" s="8" t="s">
        <v>84</v>
      </c>
      <c r="P88" s="81">
        <f>36+6/7</f>
        <v>36.857142857142854</v>
      </c>
      <c r="Q88" s="8">
        <v>3</v>
      </c>
      <c r="R88" s="8">
        <v>0</v>
      </c>
      <c r="S88" s="8" t="s">
        <v>98</v>
      </c>
      <c r="T88" s="5" t="s">
        <v>84</v>
      </c>
      <c r="U88" s="5" t="s">
        <v>95</v>
      </c>
      <c r="V88" s="5" t="s">
        <v>78</v>
      </c>
      <c r="W88" s="5" t="s">
        <v>559</v>
      </c>
      <c r="X88" s="5" t="s">
        <v>82</v>
      </c>
      <c r="Y88" s="5" t="s">
        <v>373</v>
      </c>
      <c r="Z88" s="8" t="s">
        <v>39</v>
      </c>
      <c r="AA88" s="12">
        <v>45484</v>
      </c>
      <c r="AB88" s="80">
        <f>38+1/7</f>
        <v>38.142857142857146</v>
      </c>
      <c r="AC88" s="5" t="s">
        <v>84</v>
      </c>
      <c r="AD88" s="27" t="s">
        <v>282</v>
      </c>
      <c r="AE88" s="15">
        <f t="shared" si="4"/>
        <v>9</v>
      </c>
      <c r="AF88" s="15">
        <v>0</v>
      </c>
      <c r="AG88" s="27" t="s">
        <v>115</v>
      </c>
      <c r="AH88" s="27" t="s">
        <v>84</v>
      </c>
      <c r="AI88" s="5" t="s">
        <v>94</v>
      </c>
      <c r="AJ88" s="5" t="s">
        <v>82</v>
      </c>
      <c r="AK88" s="5" t="s">
        <v>83</v>
      </c>
      <c r="AL88" s="6" t="s">
        <v>84</v>
      </c>
      <c r="AM88" s="80">
        <f>38+1/7</f>
        <v>38.142857142857146</v>
      </c>
      <c r="AN88" s="5" t="s">
        <v>84</v>
      </c>
    </row>
    <row r="89" spans="1:40" ht="30" x14ac:dyDescent="0.25">
      <c r="A89" s="60">
        <v>522883</v>
      </c>
      <c r="B89" s="6" t="s">
        <v>7</v>
      </c>
      <c r="C89" s="51" t="s">
        <v>4</v>
      </c>
      <c r="D89" s="52">
        <v>45301</v>
      </c>
      <c r="E89" s="52">
        <v>45479</v>
      </c>
      <c r="F89" s="51" t="s">
        <v>77</v>
      </c>
      <c r="G89" s="52">
        <v>33828</v>
      </c>
      <c r="H89" s="39">
        <f t="shared" si="5"/>
        <v>31</v>
      </c>
      <c r="I89" s="51">
        <v>0</v>
      </c>
      <c r="J89" s="51">
        <v>25</v>
      </c>
      <c r="K89" s="51" t="s">
        <v>135</v>
      </c>
      <c r="L89" s="51" t="s">
        <v>78</v>
      </c>
      <c r="M89" s="51"/>
      <c r="N89" s="51" t="s">
        <v>154</v>
      </c>
      <c r="O89" s="40"/>
      <c r="P89" s="85">
        <f>27+3/7</f>
        <v>27.428571428571427</v>
      </c>
      <c r="Q89" s="51">
        <v>2</v>
      </c>
      <c r="R89" s="51">
        <v>1</v>
      </c>
      <c r="S89" s="51" t="s">
        <v>102</v>
      </c>
      <c r="T89" s="5" t="s">
        <v>80</v>
      </c>
      <c r="U89" s="5" t="s">
        <v>165</v>
      </c>
      <c r="V89" s="5" t="s">
        <v>77</v>
      </c>
      <c r="W89" s="13" t="s">
        <v>558</v>
      </c>
      <c r="X89" s="5" t="s">
        <v>82</v>
      </c>
      <c r="Y89" s="5" t="s">
        <v>122</v>
      </c>
      <c r="Z89" s="8" t="s">
        <v>4</v>
      </c>
      <c r="AA89" s="12">
        <v>45548</v>
      </c>
      <c r="AB89" s="80">
        <f>37+2/7</f>
        <v>37.285714285714285</v>
      </c>
      <c r="AC89" s="5" t="s">
        <v>279</v>
      </c>
      <c r="AD89" s="5" t="s">
        <v>207</v>
      </c>
      <c r="AE89" s="15">
        <f t="shared" si="4"/>
        <v>69</v>
      </c>
      <c r="AF89" s="15">
        <v>2</v>
      </c>
      <c r="AG89" s="13" t="s">
        <v>464</v>
      </c>
      <c r="AH89" s="5" t="s">
        <v>84</v>
      </c>
      <c r="AI89" s="13" t="s">
        <v>173</v>
      </c>
      <c r="AJ89" s="5" t="s">
        <v>326</v>
      </c>
      <c r="AK89" s="5" t="s">
        <v>327</v>
      </c>
      <c r="AL89" s="5" t="s">
        <v>207</v>
      </c>
      <c r="AM89" s="102">
        <f>37+3/7</f>
        <v>37.428571428571431</v>
      </c>
      <c r="AN89" s="5" t="s">
        <v>4</v>
      </c>
    </row>
    <row r="90" spans="1:40" ht="45" x14ac:dyDescent="0.25">
      <c r="A90" s="60">
        <v>523229</v>
      </c>
      <c r="B90" s="58" t="s">
        <v>23</v>
      </c>
      <c r="C90" s="86" t="s">
        <v>76</v>
      </c>
      <c r="D90" s="87">
        <v>45304</v>
      </c>
      <c r="E90" s="87">
        <v>45492</v>
      </c>
      <c r="F90" s="86" t="s">
        <v>77</v>
      </c>
      <c r="G90" s="87">
        <v>32883</v>
      </c>
      <c r="H90" s="88">
        <f t="shared" si="5"/>
        <v>34</v>
      </c>
      <c r="I90" s="86">
        <v>0</v>
      </c>
      <c r="J90" s="86">
        <v>34</v>
      </c>
      <c r="K90" s="86" t="s">
        <v>30</v>
      </c>
      <c r="L90" s="86" t="s">
        <v>78</v>
      </c>
      <c r="M90" s="86" t="s">
        <v>369</v>
      </c>
      <c r="N90" s="86" t="s">
        <v>92</v>
      </c>
      <c r="O90" s="90" t="s">
        <v>397</v>
      </c>
      <c r="P90" s="89">
        <f>28+6/7</f>
        <v>28.857142857142858</v>
      </c>
      <c r="Q90" s="86">
        <v>3</v>
      </c>
      <c r="R90" s="86">
        <v>0</v>
      </c>
      <c r="S90" s="86">
        <v>1</v>
      </c>
      <c r="T90" s="5" t="s">
        <v>80</v>
      </c>
      <c r="U90" s="5" t="s">
        <v>165</v>
      </c>
      <c r="V90" s="5" t="s">
        <v>77</v>
      </c>
      <c r="W90" s="5" t="s">
        <v>559</v>
      </c>
      <c r="X90" s="5" t="s">
        <v>82</v>
      </c>
      <c r="Y90" s="5" t="s">
        <v>373</v>
      </c>
      <c r="Z90" s="8" t="s">
        <v>76</v>
      </c>
      <c r="AA90" s="12">
        <v>45509</v>
      </c>
      <c r="AB90" s="80">
        <f>30+5/7</f>
        <v>30.714285714285715</v>
      </c>
      <c r="AC90" s="6"/>
      <c r="AD90" s="13" t="s">
        <v>419</v>
      </c>
      <c r="AE90" s="15">
        <f t="shared" si="4"/>
        <v>17</v>
      </c>
      <c r="AF90" s="5">
        <v>1</v>
      </c>
      <c r="AG90" s="13" t="s">
        <v>420</v>
      </c>
      <c r="AH90" s="5" t="s">
        <v>84</v>
      </c>
      <c r="AI90" s="5" t="s">
        <v>210</v>
      </c>
      <c r="AJ90" s="5" t="s">
        <v>82</v>
      </c>
      <c r="AK90" s="5" t="s">
        <v>373</v>
      </c>
      <c r="AL90" s="5" t="s">
        <v>260</v>
      </c>
      <c r="AM90" s="80">
        <f>30+6/7</f>
        <v>30.857142857142858</v>
      </c>
      <c r="AN90" s="5" t="s">
        <v>260</v>
      </c>
    </row>
    <row r="91" spans="1:40" ht="105" x14ac:dyDescent="0.25">
      <c r="A91" s="59">
        <v>523602</v>
      </c>
      <c r="B91" s="59" t="s">
        <v>3</v>
      </c>
      <c r="C91" s="86" t="s">
        <v>76</v>
      </c>
      <c r="D91" s="87">
        <v>45336</v>
      </c>
      <c r="E91" s="87">
        <v>45498</v>
      </c>
      <c r="F91" s="86" t="s">
        <v>77</v>
      </c>
      <c r="G91" s="87">
        <v>33604</v>
      </c>
      <c r="H91" s="88">
        <f t="shared" si="5"/>
        <v>32</v>
      </c>
      <c r="I91" s="92">
        <v>1</v>
      </c>
      <c r="J91" s="86">
        <v>26</v>
      </c>
      <c r="K91" s="86" t="s">
        <v>30</v>
      </c>
      <c r="L91" s="86" t="s">
        <v>78</v>
      </c>
      <c r="M91" s="86"/>
      <c r="N91" s="86"/>
      <c r="O91" s="86"/>
      <c r="P91" s="89">
        <f>25+2/7</f>
        <v>25.285714285714285</v>
      </c>
      <c r="Q91" s="86">
        <v>3</v>
      </c>
      <c r="R91" s="86">
        <v>0</v>
      </c>
      <c r="S91" s="86" t="s">
        <v>98</v>
      </c>
      <c r="T91" s="5" t="s">
        <v>80</v>
      </c>
      <c r="U91" s="5" t="s">
        <v>165</v>
      </c>
      <c r="V91" s="5" t="s">
        <v>77</v>
      </c>
      <c r="W91" s="5" t="s">
        <v>559</v>
      </c>
      <c r="X91" s="5" t="s">
        <v>82</v>
      </c>
      <c r="Y91" s="5" t="s">
        <v>373</v>
      </c>
      <c r="Z91" s="8" t="s">
        <v>76</v>
      </c>
      <c r="AA91" s="12">
        <v>45570</v>
      </c>
      <c r="AB91" s="80">
        <f>35+4/7</f>
        <v>35.571428571428569</v>
      </c>
      <c r="AC91" s="13" t="s">
        <v>85</v>
      </c>
      <c r="AD91" s="27" t="s">
        <v>576</v>
      </c>
      <c r="AE91" s="15">
        <f t="shared" si="4"/>
        <v>72</v>
      </c>
      <c r="AF91" s="15">
        <v>2</v>
      </c>
      <c r="AG91" s="13" t="s">
        <v>86</v>
      </c>
      <c r="AH91" s="5" t="s">
        <v>84</v>
      </c>
      <c r="AI91" s="13" t="s">
        <v>88</v>
      </c>
      <c r="AJ91" s="5" t="s">
        <v>82</v>
      </c>
      <c r="AK91" s="13" t="s">
        <v>89</v>
      </c>
      <c r="AL91" s="6" t="s">
        <v>343</v>
      </c>
      <c r="AM91" s="83">
        <v>36</v>
      </c>
      <c r="AN91" s="6" t="s">
        <v>4</v>
      </c>
    </row>
    <row r="92" spans="1:40" x14ac:dyDescent="0.25">
      <c r="A92" s="59">
        <v>523846</v>
      </c>
      <c r="B92" s="59" t="s">
        <v>3</v>
      </c>
      <c r="C92" s="51" t="s">
        <v>101</v>
      </c>
      <c r="D92" s="52">
        <v>45275</v>
      </c>
      <c r="E92" s="52">
        <v>45493</v>
      </c>
      <c r="F92" s="51" t="s">
        <v>77</v>
      </c>
      <c r="G92" s="52">
        <v>31275</v>
      </c>
      <c r="H92" s="39">
        <f t="shared" si="5"/>
        <v>38</v>
      </c>
      <c r="I92" s="51">
        <v>0</v>
      </c>
      <c r="J92" s="51">
        <v>27</v>
      </c>
      <c r="K92" s="51" t="s">
        <v>30</v>
      </c>
      <c r="L92" s="51" t="s">
        <v>78</v>
      </c>
      <c r="M92" s="51"/>
      <c r="N92" s="51"/>
      <c r="O92" s="51"/>
      <c r="P92" s="85">
        <f>33+1/7</f>
        <v>33.142857142857146</v>
      </c>
      <c r="Q92" s="51">
        <v>7</v>
      </c>
      <c r="R92" s="51">
        <v>0</v>
      </c>
      <c r="S92" s="51" t="s">
        <v>102</v>
      </c>
      <c r="T92" s="5" t="s">
        <v>80</v>
      </c>
      <c r="U92" s="5" t="s">
        <v>95</v>
      </c>
      <c r="V92" s="5" t="s">
        <v>78</v>
      </c>
      <c r="W92" s="5" t="s">
        <v>559</v>
      </c>
      <c r="X92" s="5" t="s">
        <v>82</v>
      </c>
      <c r="Y92" s="5" t="s">
        <v>111</v>
      </c>
      <c r="Z92" s="8" t="s">
        <v>127</v>
      </c>
      <c r="AA92" s="12">
        <v>45520</v>
      </c>
      <c r="AB92" s="80">
        <f>37+1/7</f>
        <v>37.142857142857146</v>
      </c>
      <c r="AC92" s="5"/>
      <c r="AD92" s="5" t="s">
        <v>207</v>
      </c>
      <c r="AE92" s="15">
        <f t="shared" si="4"/>
        <v>27</v>
      </c>
      <c r="AF92" s="15">
        <v>0</v>
      </c>
      <c r="AG92" s="5"/>
      <c r="AH92" s="5" t="s">
        <v>80</v>
      </c>
      <c r="AI92" s="5" t="s">
        <v>110</v>
      </c>
      <c r="AJ92" s="5" t="s">
        <v>82</v>
      </c>
      <c r="AK92" s="5" t="s">
        <v>112</v>
      </c>
      <c r="AL92" s="6" t="s">
        <v>207</v>
      </c>
      <c r="AM92" s="80">
        <f>37+2/7</f>
        <v>37.285714285714285</v>
      </c>
      <c r="AN92" s="5" t="s">
        <v>4</v>
      </c>
    </row>
    <row r="93" spans="1:40" x14ac:dyDescent="0.25">
      <c r="A93" s="60">
        <v>524050</v>
      </c>
      <c r="B93" s="58" t="s">
        <v>23</v>
      </c>
      <c r="C93" s="8" t="s">
        <v>39</v>
      </c>
      <c r="D93" s="84">
        <v>45298</v>
      </c>
      <c r="E93" s="84">
        <v>45520</v>
      </c>
      <c r="F93" s="8" t="s">
        <v>77</v>
      </c>
      <c r="G93" s="84">
        <v>33515</v>
      </c>
      <c r="H93" s="21">
        <f t="shared" si="5"/>
        <v>32</v>
      </c>
      <c r="I93" s="8">
        <v>1</v>
      </c>
      <c r="J93" s="8">
        <v>30</v>
      </c>
      <c r="K93" s="8" t="s">
        <v>30</v>
      </c>
      <c r="L93" s="8" t="s">
        <v>78</v>
      </c>
      <c r="M93" s="8" t="s">
        <v>84</v>
      </c>
      <c r="N93" s="8"/>
      <c r="O93" s="8"/>
      <c r="P93" s="81">
        <f>33+5/7</f>
        <v>33.714285714285715</v>
      </c>
      <c r="Q93" s="8">
        <v>2</v>
      </c>
      <c r="R93" s="8">
        <v>0</v>
      </c>
      <c r="S93" s="8">
        <v>1</v>
      </c>
      <c r="T93" s="5" t="s">
        <v>80</v>
      </c>
      <c r="U93" s="5" t="s">
        <v>95</v>
      </c>
      <c r="V93" s="5" t="s">
        <v>78</v>
      </c>
      <c r="W93" s="5" t="s">
        <v>559</v>
      </c>
      <c r="X93" s="5" t="s">
        <v>82</v>
      </c>
      <c r="Y93" s="5" t="s">
        <v>373</v>
      </c>
      <c r="Z93" s="8" t="s">
        <v>39</v>
      </c>
      <c r="AA93" s="12">
        <v>45558</v>
      </c>
      <c r="AB93" s="80">
        <f>39+1/7</f>
        <v>39.142857142857146</v>
      </c>
      <c r="AC93" s="5"/>
      <c r="AD93" s="5" t="s">
        <v>134</v>
      </c>
      <c r="AE93" s="15">
        <f t="shared" si="4"/>
        <v>38</v>
      </c>
      <c r="AF93" s="5">
        <v>0</v>
      </c>
      <c r="AG93" s="5"/>
      <c r="AH93" s="5" t="s">
        <v>80</v>
      </c>
      <c r="AI93" s="5" t="s">
        <v>210</v>
      </c>
      <c r="AJ93" s="5" t="s">
        <v>82</v>
      </c>
      <c r="AK93" s="5" t="s">
        <v>373</v>
      </c>
      <c r="AL93" s="5" t="s">
        <v>134</v>
      </c>
      <c r="AM93" s="80">
        <f>39+1/7</f>
        <v>39.142857142857146</v>
      </c>
      <c r="AN93" s="5"/>
    </row>
    <row r="94" spans="1:40" ht="90" x14ac:dyDescent="0.25">
      <c r="A94" s="60">
        <v>524225</v>
      </c>
      <c r="B94" s="6" t="s">
        <v>7</v>
      </c>
      <c r="C94" s="46" t="s">
        <v>5</v>
      </c>
      <c r="D94" s="84">
        <v>45346</v>
      </c>
      <c r="E94" s="84">
        <v>45516</v>
      </c>
      <c r="F94" s="8" t="s">
        <v>77</v>
      </c>
      <c r="G94" s="84">
        <v>32316</v>
      </c>
      <c r="H94" s="21">
        <f t="shared" si="5"/>
        <v>35</v>
      </c>
      <c r="I94" s="8">
        <v>1</v>
      </c>
      <c r="J94" s="8">
        <v>29</v>
      </c>
      <c r="K94" s="8" t="s">
        <v>30</v>
      </c>
      <c r="L94" s="8" t="s">
        <v>78</v>
      </c>
      <c r="M94" s="46" t="s">
        <v>542</v>
      </c>
      <c r="N94" s="46" t="s">
        <v>154</v>
      </c>
      <c r="O94" s="46"/>
      <c r="P94" s="81">
        <f>26</f>
        <v>26</v>
      </c>
      <c r="Q94" s="8">
        <v>3</v>
      </c>
      <c r="R94" s="8">
        <v>1</v>
      </c>
      <c r="S94" s="8" t="s">
        <v>98</v>
      </c>
      <c r="T94" s="5" t="s">
        <v>80</v>
      </c>
      <c r="U94" s="6" t="s">
        <v>95</v>
      </c>
      <c r="V94" s="5" t="s">
        <v>78</v>
      </c>
      <c r="W94" s="13" t="s">
        <v>558</v>
      </c>
      <c r="X94" s="6" t="s">
        <v>82</v>
      </c>
      <c r="Y94" s="6" t="s">
        <v>214</v>
      </c>
      <c r="Z94" s="8" t="s">
        <v>5</v>
      </c>
      <c r="AA94" s="12">
        <v>45596</v>
      </c>
      <c r="AB94" s="80">
        <f>37+5/7</f>
        <v>37.714285714285715</v>
      </c>
      <c r="AC94" s="5"/>
      <c r="AD94" s="5" t="s">
        <v>207</v>
      </c>
      <c r="AE94" s="15">
        <f t="shared" si="4"/>
        <v>80</v>
      </c>
      <c r="AF94" s="15">
        <v>2</v>
      </c>
      <c r="AG94" s="13" t="s">
        <v>216</v>
      </c>
      <c r="AH94" s="5" t="s">
        <v>80</v>
      </c>
      <c r="AI94" s="13" t="s">
        <v>173</v>
      </c>
      <c r="AJ94" s="6" t="s">
        <v>82</v>
      </c>
      <c r="AK94" s="6" t="s">
        <v>83</v>
      </c>
      <c r="AL94" s="5" t="s">
        <v>207</v>
      </c>
      <c r="AM94" s="80">
        <f>38+2/7</f>
        <v>38.285714285714285</v>
      </c>
      <c r="AN94" s="5" t="s">
        <v>39</v>
      </c>
    </row>
    <row r="95" spans="1:40" x14ac:dyDescent="0.25">
      <c r="A95" s="60">
        <v>524484</v>
      </c>
      <c r="B95" s="6" t="s">
        <v>7</v>
      </c>
      <c r="C95" s="90" t="s">
        <v>76</v>
      </c>
      <c r="D95" s="87">
        <v>45319</v>
      </c>
      <c r="E95" s="87">
        <v>45533</v>
      </c>
      <c r="F95" s="86" t="s">
        <v>77</v>
      </c>
      <c r="G95" s="87">
        <v>30995</v>
      </c>
      <c r="H95" s="88">
        <f t="shared" si="5"/>
        <v>39</v>
      </c>
      <c r="I95" s="86">
        <v>2</v>
      </c>
      <c r="J95" s="86">
        <v>40</v>
      </c>
      <c r="K95" s="86" t="s">
        <v>30</v>
      </c>
      <c r="L95" s="86" t="s">
        <v>78</v>
      </c>
      <c r="M95" s="86"/>
      <c r="N95" s="86" t="s">
        <v>92</v>
      </c>
      <c r="O95" s="86"/>
      <c r="P95" s="89">
        <f>32+4/7</f>
        <v>32.571428571428569</v>
      </c>
      <c r="Q95" s="86">
        <v>2</v>
      </c>
      <c r="R95" s="86">
        <v>1</v>
      </c>
      <c r="S95" s="86" t="s">
        <v>98</v>
      </c>
      <c r="T95" s="5" t="s">
        <v>80</v>
      </c>
      <c r="U95" s="5" t="s">
        <v>165</v>
      </c>
      <c r="V95" s="5" t="s">
        <v>78</v>
      </c>
      <c r="W95" s="5" t="s">
        <v>559</v>
      </c>
      <c r="X95" s="5" t="s">
        <v>82</v>
      </c>
      <c r="Y95" s="5" t="s">
        <v>373</v>
      </c>
      <c r="Z95" s="8" t="s">
        <v>76</v>
      </c>
      <c r="AA95" s="12">
        <v>45572</v>
      </c>
      <c r="AB95" s="80">
        <f>38+1/7</f>
        <v>38.142857142857146</v>
      </c>
      <c r="AC95" s="5"/>
      <c r="AD95" s="5" t="s">
        <v>207</v>
      </c>
      <c r="AE95" s="15">
        <f t="shared" si="4"/>
        <v>39</v>
      </c>
      <c r="AF95" s="15">
        <v>0</v>
      </c>
      <c r="AG95" s="5"/>
      <c r="AH95" s="5" t="s">
        <v>84</v>
      </c>
      <c r="AI95" s="5" t="s">
        <v>94</v>
      </c>
      <c r="AJ95" s="5" t="s">
        <v>82</v>
      </c>
      <c r="AK95" s="5" t="s">
        <v>121</v>
      </c>
      <c r="AL95" s="5" t="s">
        <v>207</v>
      </c>
      <c r="AM95" s="80">
        <f>38+3/7</f>
        <v>38.428571428571431</v>
      </c>
      <c r="AN95" s="5" t="s">
        <v>318</v>
      </c>
    </row>
    <row r="96" spans="1:40" ht="30" x14ac:dyDescent="0.25">
      <c r="A96" s="60">
        <v>524742</v>
      </c>
      <c r="B96" s="58" t="s">
        <v>23</v>
      </c>
      <c r="C96" s="8" t="s">
        <v>39</v>
      </c>
      <c r="D96" s="84">
        <v>45313</v>
      </c>
      <c r="E96" s="84">
        <v>45511</v>
      </c>
      <c r="F96" s="8" t="s">
        <v>78</v>
      </c>
      <c r="G96" s="84">
        <v>34934</v>
      </c>
      <c r="H96" s="21">
        <f t="shared" si="5"/>
        <v>28</v>
      </c>
      <c r="I96" s="8">
        <v>1</v>
      </c>
      <c r="J96" s="8">
        <v>31</v>
      </c>
      <c r="K96" s="8" t="s">
        <v>30</v>
      </c>
      <c r="L96" s="8" t="s">
        <v>78</v>
      </c>
      <c r="M96" s="8"/>
      <c r="N96" s="8" t="s">
        <v>92</v>
      </c>
      <c r="O96" s="8"/>
      <c r="P96" s="81">
        <f>32+6/7</f>
        <v>32.857142857142854</v>
      </c>
      <c r="Q96" s="8">
        <v>2</v>
      </c>
      <c r="R96" s="8">
        <v>0</v>
      </c>
      <c r="S96" s="8">
        <v>1</v>
      </c>
      <c r="T96" s="6" t="s">
        <v>80</v>
      </c>
      <c r="U96" s="6" t="s">
        <v>95</v>
      </c>
      <c r="V96" s="6" t="s">
        <v>78</v>
      </c>
      <c r="W96" s="6" t="s">
        <v>110</v>
      </c>
      <c r="X96" s="6" t="s">
        <v>82</v>
      </c>
      <c r="Y96" s="6" t="s">
        <v>373</v>
      </c>
      <c r="Z96" s="8" t="s">
        <v>39</v>
      </c>
      <c r="AA96" s="100">
        <v>45570</v>
      </c>
      <c r="AB96" s="83">
        <f>38+5/7</f>
        <v>38.714285714285715</v>
      </c>
      <c r="AC96" s="6"/>
      <c r="AD96" s="6" t="s">
        <v>207</v>
      </c>
      <c r="AE96" s="44">
        <f t="shared" si="4"/>
        <v>59</v>
      </c>
      <c r="AF96" s="6">
        <v>0</v>
      </c>
      <c r="AG96" s="6"/>
      <c r="AH96" s="6" t="s">
        <v>80</v>
      </c>
      <c r="AI96" s="6" t="s">
        <v>110</v>
      </c>
      <c r="AJ96" s="6" t="s">
        <v>82</v>
      </c>
      <c r="AK96" s="6" t="s">
        <v>373</v>
      </c>
      <c r="AL96" s="6" t="s">
        <v>207</v>
      </c>
      <c r="AM96" s="83">
        <f>39</f>
        <v>39</v>
      </c>
      <c r="AN96" s="27" t="s">
        <v>555</v>
      </c>
    </row>
    <row r="97" spans="1:40" x14ac:dyDescent="0.25">
      <c r="A97" s="59">
        <v>525068</v>
      </c>
      <c r="B97" s="59" t="s">
        <v>3</v>
      </c>
      <c r="C97" s="86" t="s">
        <v>6</v>
      </c>
      <c r="D97" s="87">
        <v>45334</v>
      </c>
      <c r="E97" s="87">
        <v>45545</v>
      </c>
      <c r="F97" s="86" t="s">
        <v>77</v>
      </c>
      <c r="G97" s="87">
        <v>32922</v>
      </c>
      <c r="H97" s="88">
        <f t="shared" si="5"/>
        <v>33</v>
      </c>
      <c r="I97" s="86">
        <v>1</v>
      </c>
      <c r="J97" s="86">
        <v>35</v>
      </c>
      <c r="K97" s="86" t="s">
        <v>30</v>
      </c>
      <c r="L97" s="86" t="s">
        <v>78</v>
      </c>
      <c r="M97" s="86" t="s">
        <v>182</v>
      </c>
      <c r="N97" s="86" t="s">
        <v>181</v>
      </c>
      <c r="O97" s="86"/>
      <c r="P97" s="89">
        <f>32+1/7</f>
        <v>32.142857142857146</v>
      </c>
      <c r="Q97" s="86">
        <v>3</v>
      </c>
      <c r="R97" s="86">
        <v>0</v>
      </c>
      <c r="S97" s="86" t="s">
        <v>100</v>
      </c>
      <c r="T97" s="6" t="s">
        <v>80</v>
      </c>
      <c r="U97" s="6" t="s">
        <v>95</v>
      </c>
      <c r="V97" s="5" t="s">
        <v>78</v>
      </c>
      <c r="W97" s="5" t="s">
        <v>559</v>
      </c>
      <c r="X97" s="6" t="s">
        <v>82</v>
      </c>
      <c r="Y97" s="5" t="s">
        <v>373</v>
      </c>
      <c r="Z97" s="8" t="s">
        <v>5</v>
      </c>
      <c r="AA97" s="12">
        <v>45586</v>
      </c>
      <c r="AB97" s="80">
        <v>38</v>
      </c>
      <c r="AC97" s="5"/>
      <c r="AD97" s="5" t="s">
        <v>207</v>
      </c>
      <c r="AE97" s="15">
        <f t="shared" si="4"/>
        <v>41</v>
      </c>
      <c r="AF97" s="15">
        <v>0</v>
      </c>
      <c r="AG97" s="5"/>
      <c r="AH97" s="6" t="s">
        <v>80</v>
      </c>
      <c r="AI97" s="5" t="s">
        <v>94</v>
      </c>
      <c r="AJ97" s="6" t="s">
        <v>82</v>
      </c>
      <c r="AK97" s="6" t="s">
        <v>83</v>
      </c>
      <c r="AL97" s="5" t="s">
        <v>207</v>
      </c>
      <c r="AM97" s="80">
        <f>38+3/7</f>
        <v>38.428571428571431</v>
      </c>
      <c r="AN97" s="5" t="s">
        <v>582</v>
      </c>
    </row>
    <row r="98" spans="1:40" ht="60" x14ac:dyDescent="0.25">
      <c r="A98" s="60">
        <v>525515</v>
      </c>
      <c r="B98" s="58" t="s">
        <v>8</v>
      </c>
      <c r="C98" s="8" t="s">
        <v>39</v>
      </c>
      <c r="D98" s="84">
        <v>45397</v>
      </c>
      <c r="E98" s="84">
        <v>45588</v>
      </c>
      <c r="F98" s="8" t="s">
        <v>77</v>
      </c>
      <c r="G98" s="84">
        <v>30269</v>
      </c>
      <c r="H98" s="21">
        <f t="shared" si="5"/>
        <v>41</v>
      </c>
      <c r="I98" s="8">
        <v>4</v>
      </c>
      <c r="J98" s="8">
        <v>34</v>
      </c>
      <c r="K98" s="8" t="s">
        <v>30</v>
      </c>
      <c r="L98" s="8" t="s">
        <v>78</v>
      </c>
      <c r="M98" s="8"/>
      <c r="N98" s="8" t="s">
        <v>181</v>
      </c>
      <c r="O98" s="46"/>
      <c r="P98" s="81">
        <f>29+2/7</f>
        <v>29.285714285714285</v>
      </c>
      <c r="Q98" s="8">
        <v>2</v>
      </c>
      <c r="R98" s="8">
        <v>0</v>
      </c>
      <c r="S98" s="8">
        <v>1</v>
      </c>
      <c r="T98" s="5" t="s">
        <v>80</v>
      </c>
      <c r="U98" s="5" t="s">
        <v>95</v>
      </c>
      <c r="V98" s="5" t="s">
        <v>78</v>
      </c>
      <c r="W98" s="5" t="s">
        <v>559</v>
      </c>
      <c r="X98" s="5" t="s">
        <v>82</v>
      </c>
      <c r="Y98" s="5" t="s">
        <v>351</v>
      </c>
      <c r="Z98" s="8" t="s">
        <v>39</v>
      </c>
      <c r="AA98" s="12">
        <v>45647</v>
      </c>
      <c r="AB98" s="80">
        <f>37+4/7</f>
        <v>37.571428571428569</v>
      </c>
      <c r="AC98" s="5"/>
      <c r="AD98" s="5" t="s">
        <v>134</v>
      </c>
      <c r="AE98" s="15">
        <f t="shared" ref="AE98:AE113" si="6">DATEDIF(E98,AA98,"D")</f>
        <v>59</v>
      </c>
      <c r="AF98" s="5">
        <v>2</v>
      </c>
      <c r="AG98" s="13" t="s">
        <v>396</v>
      </c>
      <c r="AH98" s="5" t="s">
        <v>80</v>
      </c>
      <c r="AI98" s="5" t="s">
        <v>107</v>
      </c>
      <c r="AJ98" s="5" t="s">
        <v>82</v>
      </c>
      <c r="AK98" s="5" t="s">
        <v>351</v>
      </c>
      <c r="AL98" s="5" t="s">
        <v>134</v>
      </c>
      <c r="AM98" s="80">
        <f>37+4/7</f>
        <v>37.571428571428569</v>
      </c>
      <c r="AN98" s="5"/>
    </row>
    <row r="99" spans="1:40" ht="30" x14ac:dyDescent="0.25">
      <c r="A99" s="60">
        <v>525713</v>
      </c>
      <c r="B99" s="58" t="s">
        <v>23</v>
      </c>
      <c r="C99" s="8" t="s">
        <v>39</v>
      </c>
      <c r="D99" s="84">
        <v>45403</v>
      </c>
      <c r="E99" s="84">
        <v>45594</v>
      </c>
      <c r="F99" s="8" t="s">
        <v>78</v>
      </c>
      <c r="G99" s="84">
        <v>31503</v>
      </c>
      <c r="H99" s="21">
        <f t="shared" si="5"/>
        <v>38</v>
      </c>
      <c r="I99" s="8">
        <v>3</v>
      </c>
      <c r="J99" s="8" t="s">
        <v>208</v>
      </c>
      <c r="K99" s="8" t="s">
        <v>30</v>
      </c>
      <c r="L99" s="8" t="s">
        <v>78</v>
      </c>
      <c r="M99" s="46" t="s">
        <v>547</v>
      </c>
      <c r="N99" s="8" t="s">
        <v>154</v>
      </c>
      <c r="O99" s="8"/>
      <c r="P99" s="81">
        <f>29+2/7</f>
        <v>29.285714285714285</v>
      </c>
      <c r="Q99" s="8">
        <v>2</v>
      </c>
      <c r="R99" s="8">
        <v>0</v>
      </c>
      <c r="S99" s="8">
        <v>1</v>
      </c>
      <c r="T99" s="5" t="s">
        <v>80</v>
      </c>
      <c r="U99" s="5" t="s">
        <v>95</v>
      </c>
      <c r="V99" s="5" t="s">
        <v>77</v>
      </c>
      <c r="W99" s="13" t="s">
        <v>558</v>
      </c>
      <c r="X99" s="5" t="s">
        <v>431</v>
      </c>
      <c r="Y99" s="5" t="s">
        <v>373</v>
      </c>
      <c r="Z99" s="8" t="s">
        <v>39</v>
      </c>
      <c r="AA99" s="12">
        <v>45597</v>
      </c>
      <c r="AB99" s="80">
        <f>29+5/7</f>
        <v>29.714285714285715</v>
      </c>
      <c r="AC99" s="5" t="s">
        <v>4</v>
      </c>
      <c r="AD99" s="13" t="s">
        <v>571</v>
      </c>
      <c r="AE99" s="15">
        <f t="shared" si="6"/>
        <v>3</v>
      </c>
      <c r="AF99" s="5">
        <v>1</v>
      </c>
      <c r="AG99" s="5" t="s">
        <v>127</v>
      </c>
      <c r="AH99" s="5" t="s">
        <v>80</v>
      </c>
      <c r="AI99" s="13" t="s">
        <v>153</v>
      </c>
      <c r="AJ99" s="5" t="s">
        <v>432</v>
      </c>
      <c r="AK99" s="13" t="s">
        <v>434</v>
      </c>
      <c r="AL99" s="5" t="s">
        <v>4</v>
      </c>
      <c r="AM99" s="83">
        <f>30+2/7</f>
        <v>30.285714285714285</v>
      </c>
      <c r="AN99" s="27" t="s">
        <v>507</v>
      </c>
    </row>
    <row r="100" spans="1:40" x14ac:dyDescent="0.25">
      <c r="A100" s="60">
        <v>525863</v>
      </c>
      <c r="B100" s="6" t="s">
        <v>7</v>
      </c>
      <c r="C100" s="46" t="s">
        <v>5</v>
      </c>
      <c r="D100" s="84">
        <v>45342</v>
      </c>
      <c r="E100" s="84">
        <v>45555</v>
      </c>
      <c r="F100" s="8" t="s">
        <v>77</v>
      </c>
      <c r="G100" s="84">
        <v>30887</v>
      </c>
      <c r="H100" s="21">
        <f t="shared" si="5"/>
        <v>39</v>
      </c>
      <c r="I100" s="8">
        <v>1</v>
      </c>
      <c r="J100" s="8">
        <v>38</v>
      </c>
      <c r="K100" s="8" t="s">
        <v>30</v>
      </c>
      <c r="L100" s="8" t="s">
        <v>78</v>
      </c>
      <c r="M100" s="46"/>
      <c r="N100" s="8" t="s">
        <v>181</v>
      </c>
      <c r="O100" s="8"/>
      <c r="P100" s="81">
        <f>32+3/7</f>
        <v>32.428571428571431</v>
      </c>
      <c r="Q100" s="8">
        <v>2</v>
      </c>
      <c r="R100" s="8">
        <v>1</v>
      </c>
      <c r="S100" s="8" t="s">
        <v>100</v>
      </c>
      <c r="T100" s="5" t="s">
        <v>80</v>
      </c>
      <c r="U100" s="5" t="s">
        <v>95</v>
      </c>
      <c r="V100" s="5" t="s">
        <v>78</v>
      </c>
      <c r="W100" s="5" t="s">
        <v>559</v>
      </c>
      <c r="X100" s="5" t="s">
        <v>82</v>
      </c>
      <c r="Y100" s="5" t="s">
        <v>373</v>
      </c>
      <c r="Z100" s="46" t="s">
        <v>5</v>
      </c>
      <c r="AA100" s="12">
        <v>45595</v>
      </c>
      <c r="AB100" s="80">
        <f>38+2/7</f>
        <v>38.285714285714285</v>
      </c>
      <c r="AC100" s="5"/>
      <c r="AD100" s="5" t="s">
        <v>207</v>
      </c>
      <c r="AE100" s="15">
        <f t="shared" si="6"/>
        <v>40</v>
      </c>
      <c r="AF100" s="15">
        <v>0</v>
      </c>
      <c r="AG100" s="5"/>
      <c r="AH100" s="5" t="s">
        <v>80</v>
      </c>
      <c r="AI100" s="5" t="s">
        <v>94</v>
      </c>
      <c r="AJ100" s="5"/>
      <c r="AK100" s="5" t="s">
        <v>83</v>
      </c>
      <c r="AL100" s="5" t="s">
        <v>207</v>
      </c>
      <c r="AM100" s="80">
        <f>38+3/7</f>
        <v>38.428571428571431</v>
      </c>
      <c r="AN100" s="5" t="s">
        <v>312</v>
      </c>
    </row>
    <row r="101" spans="1:40" x14ac:dyDescent="0.25">
      <c r="A101" s="60">
        <v>526422</v>
      </c>
      <c r="B101" s="58" t="s">
        <v>8</v>
      </c>
      <c r="C101" s="8" t="s">
        <v>39</v>
      </c>
      <c r="D101" s="84">
        <v>45382</v>
      </c>
      <c r="E101" s="84">
        <v>45569</v>
      </c>
      <c r="F101" s="8" t="s">
        <v>77</v>
      </c>
      <c r="G101" s="84">
        <v>31034</v>
      </c>
      <c r="H101" s="21">
        <f t="shared" si="5"/>
        <v>39</v>
      </c>
      <c r="I101" s="8">
        <v>3</v>
      </c>
      <c r="J101" s="8">
        <v>32</v>
      </c>
      <c r="K101" s="8" t="s">
        <v>30</v>
      </c>
      <c r="L101" s="8" t="s">
        <v>78</v>
      </c>
      <c r="M101" s="8" t="s">
        <v>4</v>
      </c>
      <c r="N101" s="46"/>
      <c r="O101" s="8"/>
      <c r="P101" s="81">
        <f>28+5/7</f>
        <v>28.714285714285715</v>
      </c>
      <c r="Q101" s="8">
        <v>2</v>
      </c>
      <c r="R101" s="8">
        <v>0</v>
      </c>
      <c r="S101" s="8">
        <v>1</v>
      </c>
      <c r="T101" s="5" t="s">
        <v>80</v>
      </c>
      <c r="U101" s="5" t="s">
        <v>95</v>
      </c>
      <c r="V101" s="5" t="s">
        <v>78</v>
      </c>
      <c r="W101" s="5" t="s">
        <v>559</v>
      </c>
      <c r="X101" s="5" t="s">
        <v>82</v>
      </c>
      <c r="Y101" s="5" t="s">
        <v>351</v>
      </c>
      <c r="Z101" s="8" t="s">
        <v>39</v>
      </c>
      <c r="AA101" s="12">
        <v>45647</v>
      </c>
      <c r="AB101" s="80">
        <f>39+5/7</f>
        <v>39.714285714285715</v>
      </c>
      <c r="AC101" s="5"/>
      <c r="AD101" s="5" t="s">
        <v>134</v>
      </c>
      <c r="AE101" s="15">
        <f t="shared" si="6"/>
        <v>78</v>
      </c>
      <c r="AF101" s="5">
        <v>0</v>
      </c>
      <c r="AG101" s="5"/>
      <c r="AH101" s="5" t="s">
        <v>80</v>
      </c>
      <c r="AI101" s="5" t="s">
        <v>94</v>
      </c>
      <c r="AJ101" s="5" t="s">
        <v>82</v>
      </c>
      <c r="AK101" s="5" t="s">
        <v>351</v>
      </c>
      <c r="AL101" s="5" t="s">
        <v>134</v>
      </c>
      <c r="AM101" s="80">
        <f>39+6/7</f>
        <v>39.857142857142854</v>
      </c>
      <c r="AN101" s="5"/>
    </row>
    <row r="102" spans="1:40" x14ac:dyDescent="0.25">
      <c r="A102" s="60">
        <v>526609</v>
      </c>
      <c r="B102" s="6" t="s">
        <v>7</v>
      </c>
      <c r="C102" s="46" t="s">
        <v>5</v>
      </c>
      <c r="D102" s="84">
        <v>45355</v>
      </c>
      <c r="E102" s="84">
        <v>45560</v>
      </c>
      <c r="F102" s="8" t="s">
        <v>77</v>
      </c>
      <c r="G102" s="84">
        <v>30707</v>
      </c>
      <c r="H102" s="21">
        <f t="shared" si="5"/>
        <v>40</v>
      </c>
      <c r="I102" s="8">
        <v>0</v>
      </c>
      <c r="J102" s="8">
        <v>26</v>
      </c>
      <c r="K102" s="8" t="s">
        <v>30</v>
      </c>
      <c r="L102" s="8" t="s">
        <v>78</v>
      </c>
      <c r="M102" s="46"/>
      <c r="N102" s="8" t="s">
        <v>92</v>
      </c>
      <c r="O102" s="8"/>
      <c r="P102" s="81">
        <f>31+2/7</f>
        <v>31.285714285714285</v>
      </c>
      <c r="Q102" s="8">
        <v>2</v>
      </c>
      <c r="R102" s="8">
        <v>1</v>
      </c>
      <c r="S102" s="8" t="s">
        <v>98</v>
      </c>
      <c r="T102" s="5" t="s">
        <v>80</v>
      </c>
      <c r="U102" s="5" t="s">
        <v>95</v>
      </c>
      <c r="V102" s="5" t="s">
        <v>78</v>
      </c>
      <c r="W102" s="5" t="s">
        <v>559</v>
      </c>
      <c r="X102" s="5" t="s">
        <v>82</v>
      </c>
      <c r="Y102" s="5" t="s">
        <v>373</v>
      </c>
      <c r="Z102" s="8" t="s">
        <v>5</v>
      </c>
      <c r="AA102" s="12">
        <v>45610</v>
      </c>
      <c r="AB102" s="80">
        <f>38+3/7</f>
        <v>38.428571428571431</v>
      </c>
      <c r="AC102" s="5"/>
      <c r="AD102" s="5" t="s">
        <v>207</v>
      </c>
      <c r="AE102" s="15">
        <f t="shared" si="6"/>
        <v>50</v>
      </c>
      <c r="AF102" s="15">
        <v>0</v>
      </c>
      <c r="AG102" s="5"/>
      <c r="AH102" s="5" t="s">
        <v>80</v>
      </c>
      <c r="AI102" s="5" t="s">
        <v>94</v>
      </c>
      <c r="AJ102" s="6" t="s">
        <v>82</v>
      </c>
      <c r="AK102" s="6" t="s">
        <v>83</v>
      </c>
      <c r="AL102" s="5" t="s">
        <v>207</v>
      </c>
      <c r="AM102" s="80">
        <f>38+6/7</f>
        <v>38.857142857142854</v>
      </c>
      <c r="AN102" s="5" t="s">
        <v>39</v>
      </c>
    </row>
    <row r="103" spans="1:40" ht="30" x14ac:dyDescent="0.25">
      <c r="A103" s="59">
        <v>526684</v>
      </c>
      <c r="B103" s="59" t="s">
        <v>3</v>
      </c>
      <c r="C103" s="8" t="s">
        <v>5</v>
      </c>
      <c r="D103" s="84">
        <v>45325</v>
      </c>
      <c r="E103" s="84">
        <v>45572</v>
      </c>
      <c r="F103" s="8" t="s">
        <v>77</v>
      </c>
      <c r="G103" s="84">
        <v>29860</v>
      </c>
      <c r="H103" s="21">
        <f t="shared" ref="H103:H134" si="7">DATEDIF(G103,D103,"Y")</f>
        <v>42</v>
      </c>
      <c r="I103" s="8">
        <v>2</v>
      </c>
      <c r="J103" s="8">
        <v>32</v>
      </c>
      <c r="K103" s="8" t="s">
        <v>166</v>
      </c>
      <c r="L103" s="8" t="s">
        <v>78</v>
      </c>
      <c r="M103" s="8"/>
      <c r="N103" s="8" t="s">
        <v>154</v>
      </c>
      <c r="O103" s="8"/>
      <c r="P103" s="81">
        <f>37+2/7</f>
        <v>37.285714285714285</v>
      </c>
      <c r="Q103" s="8">
        <v>3</v>
      </c>
      <c r="R103" s="8">
        <v>0</v>
      </c>
      <c r="S103" s="8" t="s">
        <v>98</v>
      </c>
      <c r="T103" s="6" t="s">
        <v>80</v>
      </c>
      <c r="U103" s="6" t="s">
        <v>95</v>
      </c>
      <c r="V103" s="5" t="s">
        <v>78</v>
      </c>
      <c r="W103" s="13" t="s">
        <v>558</v>
      </c>
      <c r="X103" s="27" t="s">
        <v>194</v>
      </c>
      <c r="Y103" s="5" t="s">
        <v>373</v>
      </c>
      <c r="Z103" s="8" t="s">
        <v>39</v>
      </c>
      <c r="AA103" s="12">
        <v>45583</v>
      </c>
      <c r="AB103" s="80">
        <f>38+6/7</f>
        <v>38.857142857142854</v>
      </c>
      <c r="AC103" s="5"/>
      <c r="AD103" s="5" t="s">
        <v>207</v>
      </c>
      <c r="AE103" s="15">
        <f t="shared" si="6"/>
        <v>11</v>
      </c>
      <c r="AF103" s="15">
        <v>0</v>
      </c>
      <c r="AG103" s="5"/>
      <c r="AH103" s="6" t="s">
        <v>80</v>
      </c>
      <c r="AI103" s="13" t="s">
        <v>173</v>
      </c>
      <c r="AJ103" s="6" t="s">
        <v>175</v>
      </c>
      <c r="AK103" s="6" t="s">
        <v>83</v>
      </c>
      <c r="AL103" s="5" t="s">
        <v>207</v>
      </c>
      <c r="AM103" s="102">
        <v>39</v>
      </c>
      <c r="AN103" s="5" t="s">
        <v>5</v>
      </c>
    </row>
    <row r="104" spans="1:40" ht="30" x14ac:dyDescent="0.25">
      <c r="A104" s="59">
        <v>526788</v>
      </c>
      <c r="B104" s="59" t="s">
        <v>3</v>
      </c>
      <c r="C104" s="51" t="s">
        <v>101</v>
      </c>
      <c r="D104" s="52">
        <v>45403</v>
      </c>
      <c r="E104" s="52">
        <v>45564</v>
      </c>
      <c r="F104" s="51" t="s">
        <v>77</v>
      </c>
      <c r="G104" s="52">
        <v>30392</v>
      </c>
      <c r="H104" s="39">
        <f t="shared" si="7"/>
        <v>41</v>
      </c>
      <c r="I104" s="51">
        <v>5</v>
      </c>
      <c r="J104" s="51">
        <v>28</v>
      </c>
      <c r="K104" s="51" t="s">
        <v>30</v>
      </c>
      <c r="L104" s="51" t="s">
        <v>78</v>
      </c>
      <c r="M104" s="40" t="s">
        <v>182</v>
      </c>
      <c r="N104" s="40" t="s">
        <v>154</v>
      </c>
      <c r="O104" s="40"/>
      <c r="P104" s="85">
        <f>25+4/7</f>
        <v>25.571428571428573</v>
      </c>
      <c r="Q104" s="51">
        <v>7</v>
      </c>
      <c r="R104" s="51">
        <v>0</v>
      </c>
      <c r="S104" s="51" t="s">
        <v>102</v>
      </c>
      <c r="T104" s="6" t="s">
        <v>80</v>
      </c>
      <c r="U104" s="5" t="s">
        <v>95</v>
      </c>
      <c r="V104" s="5" t="s">
        <v>77</v>
      </c>
      <c r="W104" s="13" t="s">
        <v>558</v>
      </c>
      <c r="X104" s="6" t="s">
        <v>82</v>
      </c>
      <c r="Y104" s="6" t="s">
        <v>121</v>
      </c>
      <c r="Z104" s="8" t="s">
        <v>127</v>
      </c>
      <c r="AA104" s="12">
        <v>45647</v>
      </c>
      <c r="AB104" s="80">
        <f>36+6/7</f>
        <v>36.857142857142854</v>
      </c>
      <c r="AC104" s="5"/>
      <c r="AD104" s="54" t="s">
        <v>207</v>
      </c>
      <c r="AE104" s="15">
        <f t="shared" si="6"/>
        <v>83</v>
      </c>
      <c r="AF104" s="15">
        <v>1</v>
      </c>
      <c r="AG104" s="13" t="s">
        <v>118</v>
      </c>
      <c r="AH104" s="6" t="s">
        <v>80</v>
      </c>
      <c r="AI104" s="13" t="s">
        <v>120</v>
      </c>
      <c r="AJ104" s="5" t="s">
        <v>82</v>
      </c>
      <c r="AK104" s="5" t="s">
        <v>122</v>
      </c>
      <c r="AL104" s="6" t="s">
        <v>207</v>
      </c>
      <c r="AM104" s="80">
        <v>37</v>
      </c>
      <c r="AN104" s="5" t="s">
        <v>4</v>
      </c>
    </row>
    <row r="105" spans="1:40" ht="30" x14ac:dyDescent="0.25">
      <c r="A105" s="59">
        <v>527122</v>
      </c>
      <c r="B105" s="59" t="s">
        <v>3</v>
      </c>
      <c r="C105" s="51" t="s">
        <v>101</v>
      </c>
      <c r="D105" s="52">
        <v>45434</v>
      </c>
      <c r="E105" s="52">
        <v>45573</v>
      </c>
      <c r="F105" s="51" t="s">
        <v>77</v>
      </c>
      <c r="G105" s="52">
        <v>31412</v>
      </c>
      <c r="H105" s="39">
        <f t="shared" si="7"/>
        <v>38</v>
      </c>
      <c r="I105" s="51">
        <v>5</v>
      </c>
      <c r="J105" s="51">
        <v>27</v>
      </c>
      <c r="K105" s="51" t="s">
        <v>166</v>
      </c>
      <c r="L105" s="51" t="s">
        <v>78</v>
      </c>
      <c r="M105" s="51" t="s">
        <v>76</v>
      </c>
      <c r="N105" s="51"/>
      <c r="O105" s="51"/>
      <c r="P105" s="85">
        <f>21+6/7</f>
        <v>21.857142857142858</v>
      </c>
      <c r="Q105" s="51">
        <v>7</v>
      </c>
      <c r="R105" s="51">
        <v>0</v>
      </c>
      <c r="S105" s="51" t="s">
        <v>98</v>
      </c>
      <c r="T105" s="6" t="s">
        <v>80</v>
      </c>
      <c r="U105" s="6" t="s">
        <v>95</v>
      </c>
      <c r="V105" s="5" t="s">
        <v>77</v>
      </c>
      <c r="W105" s="13" t="s">
        <v>558</v>
      </c>
      <c r="X105" s="6" t="s">
        <v>82</v>
      </c>
      <c r="Y105" s="6" t="s">
        <v>193</v>
      </c>
      <c r="Z105" s="8" t="s">
        <v>127</v>
      </c>
      <c r="AA105" s="12">
        <v>45602</v>
      </c>
      <c r="AB105" s="80">
        <v>26</v>
      </c>
      <c r="AC105" s="5" t="s">
        <v>84</v>
      </c>
      <c r="AD105" s="5" t="s">
        <v>566</v>
      </c>
      <c r="AE105" s="15">
        <f t="shared" si="6"/>
        <v>29</v>
      </c>
      <c r="AF105" s="15">
        <v>0</v>
      </c>
      <c r="AG105" s="5"/>
      <c r="AH105" s="6" t="s">
        <v>84</v>
      </c>
      <c r="AI105" s="13" t="s">
        <v>173</v>
      </c>
      <c r="AJ105" s="6" t="s">
        <v>82</v>
      </c>
      <c r="AK105" s="6" t="s">
        <v>175</v>
      </c>
      <c r="AL105" s="5" t="s">
        <v>84</v>
      </c>
      <c r="AM105" s="83">
        <f>26+4/7</f>
        <v>26.571428571428573</v>
      </c>
      <c r="AN105" s="6" t="s">
        <v>260</v>
      </c>
    </row>
    <row r="106" spans="1:40" ht="60" x14ac:dyDescent="0.25">
      <c r="A106" s="64">
        <v>527855</v>
      </c>
      <c r="B106" s="6" t="s">
        <v>7</v>
      </c>
      <c r="C106" s="86" t="s">
        <v>76</v>
      </c>
      <c r="D106" s="87">
        <v>45391</v>
      </c>
      <c r="E106" s="87">
        <v>45590</v>
      </c>
      <c r="F106" s="86" t="s">
        <v>77</v>
      </c>
      <c r="G106" s="87">
        <v>30469</v>
      </c>
      <c r="H106" s="88">
        <f t="shared" si="7"/>
        <v>40</v>
      </c>
      <c r="I106" s="86">
        <v>3</v>
      </c>
      <c r="J106" s="86">
        <v>31</v>
      </c>
      <c r="K106" s="86" t="s">
        <v>30</v>
      </c>
      <c r="L106" s="86" t="s">
        <v>78</v>
      </c>
      <c r="M106" s="86" t="s">
        <v>4</v>
      </c>
      <c r="N106" s="86"/>
      <c r="O106" s="86"/>
      <c r="P106" s="89">
        <f>30+3/7</f>
        <v>30.428571428571427</v>
      </c>
      <c r="Q106" s="86">
        <v>3</v>
      </c>
      <c r="R106" s="86">
        <v>1</v>
      </c>
      <c r="S106" s="86" t="s">
        <v>98</v>
      </c>
      <c r="T106" s="5" t="s">
        <v>80</v>
      </c>
      <c r="U106" s="5" t="s">
        <v>165</v>
      </c>
      <c r="V106" s="5" t="s">
        <v>77</v>
      </c>
      <c r="W106" s="5" t="s">
        <v>559</v>
      </c>
      <c r="X106" s="5" t="s">
        <v>82</v>
      </c>
      <c r="Y106" s="5" t="s">
        <v>373</v>
      </c>
      <c r="Z106" s="8" t="s">
        <v>76</v>
      </c>
      <c r="AA106" s="12">
        <v>45605</v>
      </c>
      <c r="AB106" s="80">
        <f>32+4/7</f>
        <v>32.571428571428569</v>
      </c>
      <c r="AC106" s="5"/>
      <c r="AD106" s="5" t="s">
        <v>330</v>
      </c>
      <c r="AE106" s="15">
        <f t="shared" si="6"/>
        <v>15</v>
      </c>
      <c r="AF106" s="15">
        <v>2</v>
      </c>
      <c r="AG106" s="13" t="s">
        <v>331</v>
      </c>
      <c r="AH106" s="5" t="s">
        <v>80</v>
      </c>
      <c r="AI106" s="5" t="s">
        <v>94</v>
      </c>
      <c r="AJ106" s="5" t="s">
        <v>82</v>
      </c>
      <c r="AK106" s="5" t="s">
        <v>83</v>
      </c>
      <c r="AL106" s="5" t="s">
        <v>332</v>
      </c>
      <c r="AM106" s="80">
        <f>32+5/7</f>
        <v>32.714285714285715</v>
      </c>
      <c r="AN106" s="5" t="s">
        <v>332</v>
      </c>
    </row>
    <row r="107" spans="1:40" x14ac:dyDescent="0.25">
      <c r="A107" s="60">
        <v>528319</v>
      </c>
      <c r="B107" s="6" t="s">
        <v>7</v>
      </c>
      <c r="C107" s="40" t="s">
        <v>4</v>
      </c>
      <c r="D107" s="52">
        <v>45377</v>
      </c>
      <c r="E107" s="52">
        <v>45605</v>
      </c>
      <c r="F107" s="51" t="s">
        <v>77</v>
      </c>
      <c r="G107" s="52">
        <v>32693</v>
      </c>
      <c r="H107" s="39">
        <f t="shared" si="7"/>
        <v>34</v>
      </c>
      <c r="I107" s="51">
        <v>0</v>
      </c>
      <c r="J107" s="51">
        <v>33</v>
      </c>
      <c r="K107" s="51" t="s">
        <v>30</v>
      </c>
      <c r="L107" s="51" t="s">
        <v>78</v>
      </c>
      <c r="M107" s="51"/>
      <c r="N107" s="51"/>
      <c r="O107" s="51" t="s">
        <v>84</v>
      </c>
      <c r="P107" s="85">
        <f>34+4/7</f>
        <v>34.571428571428569</v>
      </c>
      <c r="Q107" s="51">
        <v>7</v>
      </c>
      <c r="R107" s="51">
        <v>1</v>
      </c>
      <c r="S107" s="51" t="s">
        <v>98</v>
      </c>
      <c r="T107" s="5" t="s">
        <v>84</v>
      </c>
      <c r="U107" s="5" t="s">
        <v>165</v>
      </c>
      <c r="V107" s="5" t="s">
        <v>77</v>
      </c>
      <c r="W107" s="5" t="s">
        <v>559</v>
      </c>
      <c r="X107" s="5" t="s">
        <v>82</v>
      </c>
      <c r="Y107" s="5" t="s">
        <v>373</v>
      </c>
      <c r="Z107" s="46" t="s">
        <v>76</v>
      </c>
      <c r="AA107" s="12">
        <v>45610</v>
      </c>
      <c r="AB107" s="80">
        <f>35+3/7</f>
        <v>35.428571428571431</v>
      </c>
      <c r="AC107" s="5"/>
      <c r="AD107" s="5" t="s">
        <v>387</v>
      </c>
      <c r="AE107" s="15">
        <f t="shared" si="6"/>
        <v>5</v>
      </c>
      <c r="AF107" s="15">
        <v>0</v>
      </c>
      <c r="AG107" s="5"/>
      <c r="AH107" s="5" t="s">
        <v>84</v>
      </c>
      <c r="AI107" s="5" t="s">
        <v>94</v>
      </c>
      <c r="AJ107" s="5" t="s">
        <v>82</v>
      </c>
      <c r="AK107" s="5" t="s">
        <v>83</v>
      </c>
      <c r="AL107" s="5" t="s">
        <v>207</v>
      </c>
      <c r="AM107" s="80">
        <f>35+4/7</f>
        <v>35.571428571428569</v>
      </c>
      <c r="AN107" s="5" t="s">
        <v>84</v>
      </c>
    </row>
    <row r="108" spans="1:40" x14ac:dyDescent="0.25">
      <c r="A108" s="59">
        <v>528617</v>
      </c>
      <c r="B108" s="59" t="s">
        <v>3</v>
      </c>
      <c r="C108" s="51" t="s">
        <v>4</v>
      </c>
      <c r="D108" s="52">
        <v>45426</v>
      </c>
      <c r="E108" s="52">
        <v>45604</v>
      </c>
      <c r="F108" s="51" t="s">
        <v>77</v>
      </c>
      <c r="G108" s="52">
        <v>34639</v>
      </c>
      <c r="H108" s="39">
        <f t="shared" si="7"/>
        <v>29</v>
      </c>
      <c r="I108" s="51">
        <v>1</v>
      </c>
      <c r="J108" s="51">
        <v>30</v>
      </c>
      <c r="K108" s="51" t="s">
        <v>30</v>
      </c>
      <c r="L108" s="51" t="s">
        <v>78</v>
      </c>
      <c r="M108" s="40" t="s">
        <v>539</v>
      </c>
      <c r="N108" s="40"/>
      <c r="O108" s="51"/>
      <c r="P108" s="85">
        <f>27+3/7</f>
        <v>27.428571428571427</v>
      </c>
      <c r="Q108" s="51">
        <v>7</v>
      </c>
      <c r="R108" s="51">
        <v>0</v>
      </c>
      <c r="S108" s="51" t="s">
        <v>102</v>
      </c>
      <c r="T108" s="6" t="s">
        <v>80</v>
      </c>
      <c r="U108" s="6" t="s">
        <v>95</v>
      </c>
      <c r="V108" s="5" t="s">
        <v>77</v>
      </c>
      <c r="W108" s="5" t="s">
        <v>559</v>
      </c>
      <c r="X108" s="6" t="s">
        <v>82</v>
      </c>
      <c r="Y108" s="6" t="s">
        <v>562</v>
      </c>
      <c r="Z108" s="8" t="s">
        <v>127</v>
      </c>
      <c r="AA108" s="12">
        <v>45604</v>
      </c>
      <c r="AB108" s="80">
        <f>27+3/7</f>
        <v>27.428571428571427</v>
      </c>
      <c r="AC108" s="5"/>
      <c r="AD108" s="27" t="s">
        <v>576</v>
      </c>
      <c r="AE108" s="15">
        <f t="shared" si="6"/>
        <v>0</v>
      </c>
      <c r="AF108" s="15">
        <v>1</v>
      </c>
      <c r="AG108" s="5"/>
      <c r="AH108" s="6" t="s">
        <v>80</v>
      </c>
      <c r="AI108" s="5"/>
      <c r="AJ108" s="5"/>
      <c r="AK108" s="5"/>
      <c r="AL108" s="6" t="s">
        <v>343</v>
      </c>
      <c r="AM108" s="83">
        <f>28+5/7</f>
        <v>28.714285714285715</v>
      </c>
      <c r="AN108" s="6" t="s">
        <v>498</v>
      </c>
    </row>
    <row r="109" spans="1:40" ht="30" x14ac:dyDescent="0.25">
      <c r="A109" s="60">
        <v>529607</v>
      </c>
      <c r="B109" s="6" t="s">
        <v>7</v>
      </c>
      <c r="C109" s="40" t="s">
        <v>461</v>
      </c>
      <c r="D109" s="52">
        <v>45408</v>
      </c>
      <c r="E109" s="52">
        <v>45630</v>
      </c>
      <c r="F109" s="51" t="s">
        <v>77</v>
      </c>
      <c r="G109" s="52">
        <v>34049</v>
      </c>
      <c r="H109" s="39">
        <f t="shared" si="7"/>
        <v>31</v>
      </c>
      <c r="I109" s="51">
        <v>1</v>
      </c>
      <c r="J109" s="51" t="s">
        <v>208</v>
      </c>
      <c r="K109" s="51" t="s">
        <v>30</v>
      </c>
      <c r="L109" s="51" t="s">
        <v>78</v>
      </c>
      <c r="M109" s="51"/>
      <c r="N109" s="51" t="s">
        <v>92</v>
      </c>
      <c r="O109" s="40" t="s">
        <v>537</v>
      </c>
      <c r="P109" s="85">
        <f>33+5/7</f>
        <v>33.714285714285715</v>
      </c>
      <c r="Q109" s="51">
        <v>2</v>
      </c>
      <c r="R109" s="51"/>
      <c r="S109" s="51" t="s">
        <v>100</v>
      </c>
      <c r="T109" s="5" t="s">
        <v>80</v>
      </c>
      <c r="U109" s="6" t="s">
        <v>95</v>
      </c>
      <c r="V109" s="5" t="s">
        <v>78</v>
      </c>
      <c r="W109" s="5" t="s">
        <v>559</v>
      </c>
      <c r="X109" s="6" t="s">
        <v>82</v>
      </c>
      <c r="Y109" s="6" t="s">
        <v>212</v>
      </c>
      <c r="Z109" s="8" t="s">
        <v>5</v>
      </c>
      <c r="AA109" s="12">
        <v>45646</v>
      </c>
      <c r="AB109" s="80">
        <v>36</v>
      </c>
      <c r="AC109" s="5"/>
      <c r="AD109" s="5" t="s">
        <v>211</v>
      </c>
      <c r="AE109" s="15">
        <f t="shared" si="6"/>
        <v>16</v>
      </c>
      <c r="AF109" s="15">
        <v>0</v>
      </c>
      <c r="AG109" s="5"/>
      <c r="AH109" s="5" t="s">
        <v>80</v>
      </c>
      <c r="AI109" s="5" t="s">
        <v>210</v>
      </c>
      <c r="AJ109" s="6" t="s">
        <v>82</v>
      </c>
      <c r="AK109" s="5" t="s">
        <v>213</v>
      </c>
      <c r="AL109" s="5" t="s">
        <v>329</v>
      </c>
      <c r="AM109" s="83">
        <f>36+3/7</f>
        <v>36.428571428571431</v>
      </c>
      <c r="AN109" s="6" t="s">
        <v>4</v>
      </c>
    </row>
    <row r="110" spans="1:40" x14ac:dyDescent="0.25">
      <c r="A110" s="59">
        <v>529934</v>
      </c>
      <c r="B110" s="59" t="s">
        <v>3</v>
      </c>
      <c r="C110" s="51" t="s">
        <v>4</v>
      </c>
      <c r="D110" s="52">
        <v>45409</v>
      </c>
      <c r="E110" s="52">
        <v>45631</v>
      </c>
      <c r="F110" s="51" t="s">
        <v>77</v>
      </c>
      <c r="G110" s="52">
        <v>31591</v>
      </c>
      <c r="H110" s="39">
        <f t="shared" si="7"/>
        <v>37</v>
      </c>
      <c r="I110" s="51">
        <v>4</v>
      </c>
      <c r="J110" s="51">
        <v>26</v>
      </c>
      <c r="K110" s="51" t="s">
        <v>166</v>
      </c>
      <c r="L110" s="51" t="s">
        <v>176</v>
      </c>
      <c r="M110" s="40" t="s">
        <v>4</v>
      </c>
      <c r="N110" s="51" t="s">
        <v>92</v>
      </c>
      <c r="O110" s="51"/>
      <c r="P110" s="85">
        <f>33+5/7</f>
        <v>33.714285714285715</v>
      </c>
      <c r="Q110" s="51">
        <v>7</v>
      </c>
      <c r="R110" s="51">
        <v>0</v>
      </c>
      <c r="S110" s="51" t="s">
        <v>102</v>
      </c>
      <c r="T110" s="6" t="s">
        <v>80</v>
      </c>
      <c r="U110" s="6" t="s">
        <v>95</v>
      </c>
      <c r="V110" s="5" t="s">
        <v>77</v>
      </c>
      <c r="W110" s="5" t="s">
        <v>559</v>
      </c>
      <c r="X110" s="6" t="s">
        <v>82</v>
      </c>
      <c r="Y110" s="6" t="s">
        <v>195</v>
      </c>
      <c r="Z110" s="8" t="s">
        <v>179</v>
      </c>
      <c r="AA110" s="12">
        <v>45641</v>
      </c>
      <c r="AB110" s="80">
        <f>35+1/7</f>
        <v>35.142857142857146</v>
      </c>
      <c r="AC110" s="5"/>
      <c r="AD110" s="6" t="s">
        <v>180</v>
      </c>
      <c r="AE110" s="15">
        <f t="shared" si="6"/>
        <v>10</v>
      </c>
      <c r="AF110" s="15">
        <v>0</v>
      </c>
      <c r="AG110" s="5"/>
      <c r="AH110" s="6" t="s">
        <v>80</v>
      </c>
      <c r="AI110" s="5" t="s">
        <v>94</v>
      </c>
      <c r="AJ110" s="6" t="s">
        <v>82</v>
      </c>
      <c r="AK110" s="6" t="s">
        <v>175</v>
      </c>
      <c r="AL110" s="5" t="s">
        <v>134</v>
      </c>
      <c r="AM110" s="80">
        <f>35+1/7</f>
        <v>35.142857142857146</v>
      </c>
      <c r="AN110" s="5"/>
    </row>
    <row r="111" spans="1:40" ht="60" x14ac:dyDescent="0.25">
      <c r="A111" s="60">
        <v>530666</v>
      </c>
      <c r="B111" s="6" t="s">
        <v>7</v>
      </c>
      <c r="C111" s="51" t="s">
        <v>4</v>
      </c>
      <c r="D111" s="52">
        <v>45408</v>
      </c>
      <c r="E111" s="52">
        <v>45646</v>
      </c>
      <c r="F111" s="51" t="s">
        <v>77</v>
      </c>
      <c r="G111" s="52">
        <v>34857</v>
      </c>
      <c r="H111" s="39">
        <f t="shared" si="7"/>
        <v>28</v>
      </c>
      <c r="I111" s="51">
        <v>0</v>
      </c>
      <c r="J111" s="51">
        <v>40</v>
      </c>
      <c r="K111" s="51" t="s">
        <v>30</v>
      </c>
      <c r="L111" s="51" t="s">
        <v>78</v>
      </c>
      <c r="M111" s="51"/>
      <c r="N111" s="51"/>
      <c r="O111" s="51"/>
      <c r="P111" s="85">
        <v>36</v>
      </c>
      <c r="Q111" s="51">
        <v>2</v>
      </c>
      <c r="R111" s="51">
        <v>1</v>
      </c>
      <c r="S111" s="51" t="s">
        <v>98</v>
      </c>
      <c r="T111" s="5" t="s">
        <v>80</v>
      </c>
      <c r="U111" s="5" t="s">
        <v>95</v>
      </c>
      <c r="V111" s="5" t="s">
        <v>78</v>
      </c>
      <c r="W111" s="13" t="s">
        <v>558</v>
      </c>
      <c r="X111" s="5" t="s">
        <v>82</v>
      </c>
      <c r="Y111" s="5" t="s">
        <v>323</v>
      </c>
      <c r="Z111" s="8" t="s">
        <v>179</v>
      </c>
      <c r="AA111" s="12">
        <v>45652</v>
      </c>
      <c r="AB111" s="80">
        <f>36+6/7</f>
        <v>36.857142857142854</v>
      </c>
      <c r="AC111" s="5"/>
      <c r="AD111" s="5" t="s">
        <v>207</v>
      </c>
      <c r="AE111" s="15">
        <f t="shared" si="6"/>
        <v>6</v>
      </c>
      <c r="AF111" s="15">
        <v>1</v>
      </c>
      <c r="AG111" s="13" t="s">
        <v>322</v>
      </c>
      <c r="AH111" s="5" t="s">
        <v>80</v>
      </c>
      <c r="AI111" s="13" t="s">
        <v>321</v>
      </c>
      <c r="AJ111" s="5" t="s">
        <v>324</v>
      </c>
      <c r="AK111" s="5" t="s">
        <v>324</v>
      </c>
      <c r="AL111" s="5" t="s">
        <v>207</v>
      </c>
      <c r="AM111" s="102">
        <v>37</v>
      </c>
      <c r="AN111" s="5" t="s">
        <v>4</v>
      </c>
    </row>
    <row r="112" spans="1:40" ht="30" x14ac:dyDescent="0.25">
      <c r="A112" s="57" t="s">
        <v>24</v>
      </c>
      <c r="B112" s="58" t="s">
        <v>23</v>
      </c>
      <c r="C112" s="8" t="s">
        <v>39</v>
      </c>
      <c r="D112" s="84">
        <v>45037</v>
      </c>
      <c r="E112" s="84">
        <v>45237</v>
      </c>
      <c r="F112" s="8" t="s">
        <v>77</v>
      </c>
      <c r="G112" s="84">
        <v>36525</v>
      </c>
      <c r="H112" s="21">
        <f t="shared" si="7"/>
        <v>23</v>
      </c>
      <c r="I112" s="8">
        <v>2</v>
      </c>
      <c r="J112" s="8">
        <v>35</v>
      </c>
      <c r="K112" s="8" t="s">
        <v>30</v>
      </c>
      <c r="L112" s="8" t="s">
        <v>78</v>
      </c>
      <c r="M112" s="8" t="s">
        <v>182</v>
      </c>
      <c r="N112" s="8"/>
      <c r="O112" s="8"/>
      <c r="P112" s="81">
        <f>29+1/7</f>
        <v>29.142857142857142</v>
      </c>
      <c r="Q112" s="8">
        <v>2</v>
      </c>
      <c r="R112" s="8">
        <v>0</v>
      </c>
      <c r="S112" s="8">
        <v>1</v>
      </c>
      <c r="T112" s="5" t="s">
        <v>80</v>
      </c>
      <c r="U112" s="5" t="s">
        <v>95</v>
      </c>
      <c r="V112" s="5" t="s">
        <v>78</v>
      </c>
      <c r="W112" s="5" t="s">
        <v>559</v>
      </c>
      <c r="X112" s="5" t="s">
        <v>82</v>
      </c>
      <c r="Y112" s="5" t="s">
        <v>373</v>
      </c>
      <c r="Z112" s="8" t="s">
        <v>39</v>
      </c>
      <c r="AA112" s="12">
        <v>45305</v>
      </c>
      <c r="AB112" s="80">
        <f>38+5/7</f>
        <v>38.714285714285715</v>
      </c>
      <c r="AC112" s="5"/>
      <c r="AD112" s="5" t="s">
        <v>207</v>
      </c>
      <c r="AE112" s="15">
        <f t="shared" si="6"/>
        <v>68</v>
      </c>
      <c r="AF112" s="5">
        <v>1</v>
      </c>
      <c r="AG112" s="27" t="s">
        <v>415</v>
      </c>
      <c r="AH112" s="5" t="s">
        <v>80</v>
      </c>
      <c r="AI112" s="5" t="s">
        <v>334</v>
      </c>
      <c r="AJ112" s="5" t="s">
        <v>82</v>
      </c>
      <c r="AK112" s="5" t="s">
        <v>373</v>
      </c>
      <c r="AL112" s="5" t="s">
        <v>367</v>
      </c>
      <c r="AM112" s="80">
        <v>39</v>
      </c>
      <c r="AN112" s="5" t="s">
        <v>343</v>
      </c>
    </row>
    <row r="113" spans="1:40" ht="25.5" x14ac:dyDescent="0.25">
      <c r="A113" s="57" t="s">
        <v>9</v>
      </c>
      <c r="B113" s="58" t="s">
        <v>8</v>
      </c>
      <c r="C113" s="86" t="s">
        <v>76</v>
      </c>
      <c r="D113" s="87">
        <v>45052</v>
      </c>
      <c r="E113" s="87">
        <v>45258</v>
      </c>
      <c r="F113" s="86" t="s">
        <v>77</v>
      </c>
      <c r="G113" s="87">
        <v>31336</v>
      </c>
      <c r="H113" s="88">
        <f t="shared" si="7"/>
        <v>37</v>
      </c>
      <c r="I113" s="86">
        <v>0</v>
      </c>
      <c r="J113" s="86">
        <v>22</v>
      </c>
      <c r="K113" s="86" t="s">
        <v>30</v>
      </c>
      <c r="L113" s="86" t="s">
        <v>78</v>
      </c>
      <c r="M113" s="86"/>
      <c r="N113" s="86"/>
      <c r="O113" s="86"/>
      <c r="P113" s="89">
        <f>31+3/7</f>
        <v>31.428571428571427</v>
      </c>
      <c r="Q113" s="86">
        <v>2</v>
      </c>
      <c r="R113" s="86">
        <v>0</v>
      </c>
      <c r="S113" s="86">
        <v>1</v>
      </c>
      <c r="T113" s="5" t="s">
        <v>80</v>
      </c>
      <c r="U113" s="5" t="s">
        <v>165</v>
      </c>
      <c r="V113" s="5" t="s">
        <v>78</v>
      </c>
      <c r="W113" s="5" t="s">
        <v>559</v>
      </c>
      <c r="X113" s="5" t="s">
        <v>82</v>
      </c>
      <c r="Y113" s="5" t="s">
        <v>351</v>
      </c>
      <c r="Z113" s="8" t="s">
        <v>76</v>
      </c>
      <c r="AA113" s="12">
        <v>45318</v>
      </c>
      <c r="AB113" s="80">
        <f>39+3/7</f>
        <v>39.428571428571431</v>
      </c>
      <c r="AC113" s="5" t="s">
        <v>385</v>
      </c>
      <c r="AD113" s="5" t="s">
        <v>134</v>
      </c>
      <c r="AE113" s="15">
        <f t="shared" si="6"/>
        <v>60</v>
      </c>
      <c r="AF113" s="5">
        <v>0</v>
      </c>
      <c r="AG113" s="5"/>
      <c r="AH113" s="5" t="s">
        <v>80</v>
      </c>
      <c r="AI113" s="5" t="s">
        <v>383</v>
      </c>
      <c r="AJ113" s="5" t="s">
        <v>82</v>
      </c>
      <c r="AK113" s="5" t="s">
        <v>351</v>
      </c>
      <c r="AL113" s="5" t="s">
        <v>134</v>
      </c>
      <c r="AM113" s="80">
        <f>39+3/7</f>
        <v>39.428571428571431</v>
      </c>
      <c r="AN113" s="5"/>
    </row>
  </sheetData>
  <autoFilter ref="A1:AN1" xr:uid="{58BA9F6B-C2DB-4FB5-B3F0-160C9081C070}">
    <sortState ref="A2:AN113">
      <sortCondition ref="A1"/>
    </sortState>
  </autoFilter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B19B6-3615-416F-94CF-579015B6267B}">
  <dimension ref="A1:AQ111"/>
  <sheetViews>
    <sheetView workbookViewId="0">
      <pane ySplit="1" topLeftCell="A2" activePane="bottomLeft" state="frozen"/>
      <selection pane="bottomLeft" activeCell="AS18" sqref="AS18"/>
    </sheetView>
  </sheetViews>
  <sheetFormatPr baseColWidth="10" defaultRowHeight="15" x14ac:dyDescent="0.25"/>
  <cols>
    <col min="3" max="3" width="16.42578125" customWidth="1"/>
    <col min="4" max="23" width="0" hidden="1" customWidth="1"/>
    <col min="24" max="24" width="2.140625" hidden="1" customWidth="1"/>
    <col min="26" max="42" width="0" hidden="1" customWidth="1"/>
  </cols>
  <sheetData>
    <row r="1" spans="1:43" ht="20.100000000000001" customHeight="1" x14ac:dyDescent="0.25">
      <c r="A1" s="28" t="s">
        <v>0</v>
      </c>
      <c r="B1" s="18" t="s">
        <v>1</v>
      </c>
      <c r="C1" s="18" t="s">
        <v>36</v>
      </c>
      <c r="D1" s="18" t="s">
        <v>40</v>
      </c>
      <c r="E1" s="18" t="s">
        <v>2</v>
      </c>
      <c r="F1" s="18" t="s">
        <v>37</v>
      </c>
      <c r="G1" s="19" t="s">
        <v>29</v>
      </c>
      <c r="H1" s="19" t="s">
        <v>126</v>
      </c>
      <c r="I1" s="19" t="s">
        <v>11</v>
      </c>
      <c r="J1" s="19" t="s">
        <v>12</v>
      </c>
      <c r="K1" s="19" t="s">
        <v>13</v>
      </c>
      <c r="L1" s="19" t="s">
        <v>35</v>
      </c>
      <c r="M1" s="19" t="s">
        <v>14</v>
      </c>
      <c r="N1" s="19" t="s">
        <v>15</v>
      </c>
      <c r="O1" s="20" t="s">
        <v>38</v>
      </c>
      <c r="P1" s="20" t="s">
        <v>16</v>
      </c>
      <c r="Q1" s="20" t="s">
        <v>17</v>
      </c>
      <c r="R1" s="20" t="s">
        <v>18</v>
      </c>
      <c r="S1" s="21" t="s">
        <v>25</v>
      </c>
      <c r="T1" s="22" t="s">
        <v>33</v>
      </c>
      <c r="U1" s="22" t="s">
        <v>75</v>
      </c>
      <c r="V1" s="21" t="s">
        <v>26</v>
      </c>
      <c r="W1" s="21" t="s">
        <v>27</v>
      </c>
      <c r="X1" s="21" t="s">
        <v>28</v>
      </c>
      <c r="Y1" s="21" t="s">
        <v>34</v>
      </c>
      <c r="Z1" s="23" t="s">
        <v>32</v>
      </c>
      <c r="AA1" s="23" t="s">
        <v>19</v>
      </c>
      <c r="AB1" s="23" t="s">
        <v>20</v>
      </c>
      <c r="AC1" s="23" t="s">
        <v>21</v>
      </c>
      <c r="AD1" s="23" t="s">
        <v>22</v>
      </c>
      <c r="AE1" s="38" t="s">
        <v>255</v>
      </c>
      <c r="AF1" s="38" t="s">
        <v>256</v>
      </c>
      <c r="AG1" s="23" t="s">
        <v>41</v>
      </c>
      <c r="AH1" s="23" t="s">
        <v>26</v>
      </c>
      <c r="AI1" s="23" t="s">
        <v>31</v>
      </c>
      <c r="AJ1" s="23" t="s">
        <v>91</v>
      </c>
      <c r="AK1" s="15"/>
      <c r="AL1" s="23" t="s">
        <v>97</v>
      </c>
      <c r="AM1" s="15"/>
      <c r="AN1" s="39" t="s">
        <v>254</v>
      </c>
      <c r="AO1" s="39" t="s">
        <v>265</v>
      </c>
      <c r="AP1" s="39" t="s">
        <v>257</v>
      </c>
      <c r="AQ1" s="77" t="s">
        <v>533</v>
      </c>
    </row>
    <row r="2" spans="1:43" ht="20.100000000000001" customHeight="1" x14ac:dyDescent="0.25">
      <c r="A2" s="59">
        <v>485121</v>
      </c>
      <c r="B2" s="59" t="s">
        <v>3</v>
      </c>
      <c r="C2" s="7" t="s">
        <v>4</v>
      </c>
      <c r="D2" s="12">
        <v>45409</v>
      </c>
      <c r="E2" s="12">
        <v>45631</v>
      </c>
      <c r="F2" s="5" t="s">
        <v>77</v>
      </c>
      <c r="G2" s="14">
        <v>31591</v>
      </c>
      <c r="H2" s="44">
        <f t="shared" ref="H2" si="0">DATEDIF(G2,D2,"Y")</f>
        <v>37</v>
      </c>
      <c r="I2" s="6">
        <v>4</v>
      </c>
      <c r="J2" s="6">
        <v>26</v>
      </c>
      <c r="K2" s="6" t="s">
        <v>166</v>
      </c>
      <c r="L2" s="6" t="s">
        <v>176</v>
      </c>
      <c r="M2" s="13" t="s">
        <v>113</v>
      </c>
      <c r="N2" s="5" t="s">
        <v>92</v>
      </c>
      <c r="O2" s="8">
        <f>33+5/7</f>
        <v>33.714285714285715</v>
      </c>
      <c r="P2" s="5">
        <v>7</v>
      </c>
      <c r="Q2" s="5">
        <v>0</v>
      </c>
      <c r="R2" s="6" t="s">
        <v>102</v>
      </c>
      <c r="S2" s="6" t="s">
        <v>178</v>
      </c>
      <c r="T2" s="6" t="s">
        <v>95</v>
      </c>
      <c r="U2" s="5" t="s">
        <v>77</v>
      </c>
      <c r="V2" s="13" t="s">
        <v>128</v>
      </c>
      <c r="W2" s="6" t="s">
        <v>82</v>
      </c>
      <c r="X2" s="6" t="s">
        <v>195</v>
      </c>
      <c r="Y2" s="8" t="s">
        <v>179</v>
      </c>
      <c r="Z2" s="12">
        <v>45641</v>
      </c>
      <c r="AA2" s="5">
        <f>35+1/7</f>
        <v>35.142857142857146</v>
      </c>
      <c r="AB2" s="5" t="s">
        <v>78</v>
      </c>
      <c r="AC2" s="6" t="s">
        <v>180</v>
      </c>
      <c r="AD2" s="15">
        <f t="shared" ref="AD2" si="1">DATEDIF(E2,Z2,"D")</f>
        <v>10</v>
      </c>
      <c r="AE2" s="15">
        <v>0</v>
      </c>
      <c r="AF2" s="5" t="s">
        <v>78</v>
      </c>
      <c r="AG2" s="6" t="s">
        <v>80</v>
      </c>
      <c r="AH2" s="5" t="s">
        <v>94</v>
      </c>
      <c r="AI2" s="6" t="s">
        <v>82</v>
      </c>
      <c r="AJ2" s="6" t="s">
        <v>175</v>
      </c>
      <c r="AK2" s="5"/>
      <c r="AL2" s="5"/>
      <c r="AM2" s="5"/>
      <c r="AN2" s="5" t="s">
        <v>134</v>
      </c>
      <c r="AO2" s="5" t="s">
        <v>344</v>
      </c>
      <c r="AP2" s="5"/>
      <c r="AQ2" t="s">
        <v>745</v>
      </c>
    </row>
    <row r="3" spans="1:43" ht="20.100000000000001" customHeight="1" x14ac:dyDescent="0.25">
      <c r="A3" s="165">
        <v>155478</v>
      </c>
      <c r="B3" s="166" t="s">
        <v>23</v>
      </c>
      <c r="C3" s="161" t="s">
        <v>39</v>
      </c>
      <c r="D3" s="167"/>
      <c r="E3" s="167"/>
      <c r="F3" s="167"/>
      <c r="G3" s="167"/>
      <c r="H3" s="168"/>
      <c r="I3" s="168"/>
      <c r="J3" s="168"/>
      <c r="K3" s="167"/>
      <c r="L3" s="167"/>
      <c r="M3" s="167"/>
      <c r="N3" s="167"/>
      <c r="O3" s="168" t="e">
        <f>AVERAGE(#REF!)</f>
        <v>#REF!</v>
      </c>
      <c r="P3" s="167"/>
      <c r="Q3" s="167"/>
      <c r="R3" s="167"/>
      <c r="S3" s="167"/>
      <c r="T3" s="167"/>
      <c r="U3" s="167"/>
      <c r="V3" s="167"/>
      <c r="W3" s="167"/>
      <c r="X3" s="167"/>
      <c r="Y3" s="161" t="s">
        <v>233</v>
      </c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55" t="s">
        <v>744</v>
      </c>
    </row>
    <row r="4" spans="1:43" ht="20.100000000000001" customHeight="1" x14ac:dyDescent="0.25">
      <c r="A4" s="57">
        <v>248481</v>
      </c>
      <c r="B4" s="58" t="s">
        <v>23</v>
      </c>
      <c r="C4" s="86" t="s">
        <v>76</v>
      </c>
      <c r="D4" s="54"/>
      <c r="E4" s="54"/>
      <c r="F4" s="54"/>
      <c r="G4" s="54"/>
      <c r="H4" s="41"/>
      <c r="I4" s="41"/>
      <c r="J4" s="41"/>
      <c r="K4" s="54"/>
      <c r="L4" s="54"/>
      <c r="M4" s="54"/>
      <c r="N4" s="54"/>
      <c r="O4" s="41" t="e">
        <f>AVERAGE(#REF!)</f>
        <v>#REF!</v>
      </c>
      <c r="P4" s="54"/>
      <c r="Q4" s="54"/>
      <c r="R4" s="54"/>
      <c r="S4" s="54"/>
      <c r="T4" s="54"/>
      <c r="U4" s="54"/>
      <c r="V4" s="54"/>
      <c r="W4" s="54"/>
      <c r="X4" s="54"/>
      <c r="Y4" s="8" t="s">
        <v>39</v>
      </c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t="s">
        <v>744</v>
      </c>
    </row>
    <row r="5" spans="1:43" ht="20.100000000000001" customHeight="1" x14ac:dyDescent="0.25">
      <c r="A5" s="59">
        <v>415784</v>
      </c>
      <c r="B5" s="59" t="s">
        <v>3</v>
      </c>
      <c r="C5" s="8" t="s">
        <v>39</v>
      </c>
      <c r="D5" s="54"/>
      <c r="E5" s="54"/>
      <c r="F5" s="54"/>
      <c r="G5" s="54"/>
      <c r="H5" s="41"/>
      <c r="I5" s="41"/>
      <c r="J5" s="41"/>
      <c r="K5" s="54"/>
      <c r="L5" s="54"/>
      <c r="M5" s="54"/>
      <c r="N5" s="54"/>
      <c r="O5" s="41" t="e">
        <f>AVERAGE(#REF!)</f>
        <v>#REF!</v>
      </c>
      <c r="P5" s="54"/>
      <c r="Q5" s="54"/>
      <c r="R5" s="54"/>
      <c r="S5" s="54"/>
      <c r="T5" s="54"/>
      <c r="U5" s="54"/>
      <c r="V5" s="54"/>
      <c r="W5" s="54"/>
      <c r="X5" s="54"/>
      <c r="Y5" s="8" t="s">
        <v>39</v>
      </c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126" t="s">
        <v>745</v>
      </c>
    </row>
    <row r="6" spans="1:43" ht="20.100000000000001" customHeight="1" x14ac:dyDescent="0.25">
      <c r="A6" s="57">
        <v>423266</v>
      </c>
      <c r="B6" s="58" t="s">
        <v>23</v>
      </c>
      <c r="C6" s="8" t="s">
        <v>39</v>
      </c>
      <c r="D6" s="54"/>
      <c r="E6" s="54"/>
      <c r="F6" s="54"/>
      <c r="G6" s="54"/>
      <c r="H6" s="41"/>
      <c r="I6" s="41"/>
      <c r="J6" s="41"/>
      <c r="K6" s="54"/>
      <c r="L6" s="54"/>
      <c r="M6" s="54"/>
      <c r="N6" s="54"/>
      <c r="O6" s="41" t="e">
        <f>AVERAGE(#REF!)</f>
        <v>#REF!</v>
      </c>
      <c r="P6" s="54"/>
      <c r="Q6" s="54"/>
      <c r="R6" s="54"/>
      <c r="S6" s="54"/>
      <c r="T6" s="54"/>
      <c r="U6" s="54"/>
      <c r="V6" s="54"/>
      <c r="W6" s="54"/>
      <c r="X6" s="54"/>
      <c r="Y6" s="46" t="s">
        <v>39</v>
      </c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126" t="s">
        <v>745</v>
      </c>
    </row>
    <row r="7" spans="1:43" ht="20.100000000000001" customHeight="1" x14ac:dyDescent="0.25">
      <c r="A7" s="57">
        <v>437843</v>
      </c>
      <c r="B7" s="58" t="s">
        <v>23</v>
      </c>
      <c r="C7" s="46" t="s">
        <v>39</v>
      </c>
      <c r="D7" s="54"/>
      <c r="E7" s="54"/>
      <c r="F7" s="54"/>
      <c r="G7" s="54"/>
      <c r="H7" s="41"/>
      <c r="I7" s="41"/>
      <c r="J7" s="41"/>
      <c r="K7" s="54"/>
      <c r="L7" s="54"/>
      <c r="M7" s="54"/>
      <c r="N7" s="54"/>
      <c r="O7" s="41" t="e">
        <f>AVERAGE(#REF!)</f>
        <v>#REF!</v>
      </c>
      <c r="P7" s="54"/>
      <c r="Q7" s="54"/>
      <c r="R7" s="54"/>
      <c r="S7" s="54"/>
      <c r="T7" s="54"/>
      <c r="U7" s="54"/>
      <c r="V7" s="54"/>
      <c r="W7" s="54"/>
      <c r="X7" s="54"/>
      <c r="Y7" s="8" t="s">
        <v>39</v>
      </c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126" t="s">
        <v>745</v>
      </c>
    </row>
    <row r="8" spans="1:43" ht="20.100000000000001" customHeight="1" x14ac:dyDescent="0.25">
      <c r="A8" s="57">
        <v>452629</v>
      </c>
      <c r="B8" s="58" t="s">
        <v>23</v>
      </c>
      <c r="C8" s="8" t="s">
        <v>39</v>
      </c>
      <c r="D8" s="54"/>
      <c r="E8" s="54"/>
      <c r="F8" s="54"/>
      <c r="G8" s="54"/>
      <c r="H8" s="41"/>
      <c r="I8" s="41"/>
      <c r="J8" s="41"/>
      <c r="K8" s="54"/>
      <c r="L8" s="54"/>
      <c r="M8" s="54"/>
      <c r="N8" s="54"/>
      <c r="O8" s="41" t="e">
        <f>AVERAGE(#REF!)</f>
        <v>#REF!</v>
      </c>
      <c r="P8" s="54"/>
      <c r="Q8" s="54"/>
      <c r="R8" s="54"/>
      <c r="S8" s="54"/>
      <c r="T8" s="54"/>
      <c r="U8" s="54"/>
      <c r="V8" s="54"/>
      <c r="W8" s="54"/>
      <c r="X8" s="54"/>
      <c r="Y8" s="8" t="s">
        <v>39</v>
      </c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126" t="s">
        <v>745</v>
      </c>
    </row>
    <row r="9" spans="1:43" ht="20.100000000000001" customHeight="1" x14ac:dyDescent="0.25">
      <c r="A9" s="62">
        <v>460992</v>
      </c>
      <c r="B9" s="58" t="s">
        <v>23</v>
      </c>
      <c r="C9" s="8" t="s">
        <v>39</v>
      </c>
      <c r="D9" s="54"/>
      <c r="E9" s="54"/>
      <c r="F9" s="54"/>
      <c r="G9" s="54"/>
      <c r="H9" s="41"/>
      <c r="I9" s="41"/>
      <c r="J9" s="41"/>
      <c r="K9" s="54"/>
      <c r="L9" s="54"/>
      <c r="M9" s="54"/>
      <c r="N9" s="54"/>
      <c r="O9" s="41" t="e">
        <f>AVERAGE(#REF!)</f>
        <v>#REF!</v>
      </c>
      <c r="P9" s="54"/>
      <c r="Q9" s="54"/>
      <c r="R9" s="54"/>
      <c r="S9" s="54"/>
      <c r="T9" s="54"/>
      <c r="U9" s="54"/>
      <c r="V9" s="54"/>
      <c r="W9" s="54"/>
      <c r="X9" s="54"/>
      <c r="Y9" s="8" t="s">
        <v>39</v>
      </c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126" t="s">
        <v>745</v>
      </c>
    </row>
    <row r="10" spans="1:43" ht="20.100000000000001" customHeight="1" x14ac:dyDescent="0.25">
      <c r="A10" s="57">
        <v>480470</v>
      </c>
      <c r="B10" s="6" t="s">
        <v>7</v>
      </c>
      <c r="C10" s="46" t="s">
        <v>5</v>
      </c>
      <c r="D10" s="54"/>
      <c r="E10" s="54"/>
      <c r="F10" s="54"/>
      <c r="G10" s="54"/>
      <c r="H10" s="41"/>
      <c r="I10" s="41"/>
      <c r="J10" s="41"/>
      <c r="K10" s="54"/>
      <c r="L10" s="54"/>
      <c r="M10" s="54"/>
      <c r="N10" s="54"/>
      <c r="O10" s="41" t="e">
        <f>AVERAGE(#REF!)</f>
        <v>#REF!</v>
      </c>
      <c r="P10" s="54"/>
      <c r="Q10" s="54"/>
      <c r="R10" s="54"/>
      <c r="S10" s="54"/>
      <c r="T10" s="54"/>
      <c r="U10" s="54"/>
      <c r="V10" s="54"/>
      <c r="W10" s="54"/>
      <c r="X10" s="54"/>
      <c r="Y10" s="8" t="s">
        <v>76</v>
      </c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t="s">
        <v>746</v>
      </c>
    </row>
    <row r="11" spans="1:43" ht="20.100000000000001" customHeight="1" x14ac:dyDescent="0.25">
      <c r="A11" s="57">
        <v>481813</v>
      </c>
      <c r="B11" s="58" t="s">
        <v>23</v>
      </c>
      <c r="C11" s="86" t="s">
        <v>76</v>
      </c>
      <c r="D11" s="54"/>
      <c r="E11" s="54"/>
      <c r="F11" s="54"/>
      <c r="G11" s="54"/>
      <c r="H11" s="41"/>
      <c r="I11" s="41"/>
      <c r="J11" s="41"/>
      <c r="K11" s="54"/>
      <c r="L11" s="54"/>
      <c r="M11" s="54"/>
      <c r="N11" s="54"/>
      <c r="O11" s="41" t="e">
        <f>AVERAGE(#REF!)</f>
        <v>#REF!</v>
      </c>
      <c r="P11" s="54"/>
      <c r="Q11" s="54"/>
      <c r="R11" s="54"/>
      <c r="S11" s="54"/>
      <c r="T11" s="54"/>
      <c r="U11" s="54"/>
      <c r="V11" s="54"/>
      <c r="W11" s="54"/>
      <c r="X11" s="54"/>
      <c r="Y11" s="8" t="s">
        <v>76</v>
      </c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t="s">
        <v>745</v>
      </c>
    </row>
    <row r="12" spans="1:43" ht="20.100000000000001" customHeight="1" x14ac:dyDescent="0.25">
      <c r="A12" s="59">
        <v>485121</v>
      </c>
      <c r="B12" s="59" t="s">
        <v>3</v>
      </c>
      <c r="C12" s="8" t="s">
        <v>5</v>
      </c>
      <c r="D12" s="54"/>
      <c r="E12" s="54"/>
      <c r="F12" s="54"/>
      <c r="G12" s="54"/>
      <c r="H12" s="41"/>
      <c r="I12" s="41"/>
      <c r="J12" s="41"/>
      <c r="K12" s="54"/>
      <c r="L12" s="54"/>
      <c r="M12" s="54"/>
      <c r="N12" s="54"/>
      <c r="O12" s="41" t="e">
        <f>AVERAGE(#REF!)</f>
        <v>#REF!</v>
      </c>
      <c r="P12" s="54"/>
      <c r="Q12" s="54"/>
      <c r="R12" s="54"/>
      <c r="S12" s="54"/>
      <c r="T12" s="54"/>
      <c r="U12" s="54"/>
      <c r="V12" s="54"/>
      <c r="W12" s="54"/>
      <c r="X12" s="54"/>
      <c r="Y12" s="8" t="s">
        <v>39</v>
      </c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t="s">
        <v>745</v>
      </c>
    </row>
    <row r="13" spans="1:43" ht="20.100000000000001" customHeight="1" x14ac:dyDescent="0.25">
      <c r="A13" s="59">
        <v>489542</v>
      </c>
      <c r="B13" s="59" t="s">
        <v>3</v>
      </c>
      <c r="C13" s="8" t="s">
        <v>5</v>
      </c>
      <c r="D13" s="54"/>
      <c r="E13" s="54"/>
      <c r="F13" s="54"/>
      <c r="G13" s="54"/>
      <c r="H13" s="41"/>
      <c r="I13" s="41"/>
      <c r="J13" s="41"/>
      <c r="K13" s="54"/>
      <c r="L13" s="54"/>
      <c r="M13" s="54"/>
      <c r="N13" s="54"/>
      <c r="O13" s="41" t="e">
        <f>AVERAGE(#REF!)</f>
        <v>#REF!</v>
      </c>
      <c r="P13" s="54"/>
      <c r="Q13" s="54"/>
      <c r="R13" s="54"/>
      <c r="S13" s="54"/>
      <c r="T13" s="54"/>
      <c r="U13" s="54"/>
      <c r="V13" s="54"/>
      <c r="W13" s="54"/>
      <c r="X13" s="54"/>
      <c r="Y13" s="8" t="s">
        <v>39</v>
      </c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t="s">
        <v>745</v>
      </c>
    </row>
    <row r="14" spans="1:43" ht="20.100000000000001" customHeight="1" x14ac:dyDescent="0.25">
      <c r="A14" s="60">
        <v>493806</v>
      </c>
      <c r="B14" s="58" t="s">
        <v>23</v>
      </c>
      <c r="C14" s="90" t="s">
        <v>76</v>
      </c>
      <c r="D14" s="54"/>
      <c r="E14" s="54"/>
      <c r="F14" s="54"/>
      <c r="G14" s="54"/>
      <c r="H14" s="41"/>
      <c r="I14" s="41"/>
      <c r="J14" s="41"/>
      <c r="K14" s="54"/>
      <c r="L14" s="54"/>
      <c r="M14" s="54"/>
      <c r="N14" s="54"/>
      <c r="O14" s="41" t="e">
        <f>AVERAGE(#REF!)</f>
        <v>#REF!</v>
      </c>
      <c r="P14" s="54"/>
      <c r="Q14" s="54"/>
      <c r="R14" s="54"/>
      <c r="S14" s="54"/>
      <c r="T14" s="54"/>
      <c r="U14" s="54"/>
      <c r="V14" s="54"/>
      <c r="W14" s="54"/>
      <c r="X14" s="54"/>
      <c r="Y14" s="8" t="s">
        <v>76</v>
      </c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t="s">
        <v>745</v>
      </c>
    </row>
    <row r="15" spans="1:43" ht="20.100000000000001" customHeight="1" x14ac:dyDescent="0.25">
      <c r="A15" s="57">
        <v>511597</v>
      </c>
      <c r="B15" s="58" t="s">
        <v>23</v>
      </c>
      <c r="C15" s="8" t="s">
        <v>39</v>
      </c>
      <c r="D15" s="54"/>
      <c r="E15" s="54"/>
      <c r="F15" s="54"/>
      <c r="G15" s="54"/>
      <c r="H15" s="41"/>
      <c r="I15" s="41"/>
      <c r="J15" s="41"/>
      <c r="K15" s="54"/>
      <c r="L15" s="54"/>
      <c r="M15" s="54"/>
      <c r="N15" s="54"/>
      <c r="O15" s="41" t="e">
        <f>AVERAGE(#REF!)</f>
        <v>#REF!</v>
      </c>
      <c r="P15" s="54"/>
      <c r="Q15" s="54"/>
      <c r="R15" s="54"/>
      <c r="S15" s="54"/>
      <c r="T15" s="54"/>
      <c r="U15" s="54"/>
      <c r="V15" s="54"/>
      <c r="W15" s="54"/>
      <c r="X15" s="54"/>
      <c r="Y15" s="8" t="s">
        <v>39</v>
      </c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t="s">
        <v>745</v>
      </c>
    </row>
    <row r="16" spans="1:43" ht="20.100000000000001" customHeight="1" x14ac:dyDescent="0.25">
      <c r="A16" s="59">
        <v>512723</v>
      </c>
      <c r="B16" s="59" t="s">
        <v>3</v>
      </c>
      <c r="C16" s="8" t="s">
        <v>5</v>
      </c>
      <c r="D16" s="54"/>
      <c r="E16" s="54"/>
      <c r="F16" s="54"/>
      <c r="G16" s="54"/>
      <c r="H16" s="41"/>
      <c r="I16" s="41"/>
      <c r="J16" s="41"/>
      <c r="K16" s="54"/>
      <c r="L16" s="54"/>
      <c r="M16" s="54"/>
      <c r="N16" s="54"/>
      <c r="O16" s="41" t="e">
        <f>AVERAGE(#REF!)</f>
        <v>#REF!</v>
      </c>
      <c r="P16" s="54"/>
      <c r="Q16" s="54"/>
      <c r="R16" s="54"/>
      <c r="S16" s="54"/>
      <c r="T16" s="54"/>
      <c r="U16" s="54"/>
      <c r="V16" s="54"/>
      <c r="W16" s="54"/>
      <c r="X16" s="54"/>
      <c r="Y16" s="8" t="s">
        <v>39</v>
      </c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t="s">
        <v>745</v>
      </c>
    </row>
    <row r="17" spans="1:43" ht="20.100000000000001" customHeight="1" x14ac:dyDescent="0.25">
      <c r="A17" s="57">
        <v>513779</v>
      </c>
      <c r="B17" s="58" t="s">
        <v>23</v>
      </c>
      <c r="C17" s="90" t="s">
        <v>76</v>
      </c>
      <c r="D17" s="54"/>
      <c r="E17" s="54"/>
      <c r="F17" s="54"/>
      <c r="G17" s="54"/>
      <c r="H17" s="41"/>
      <c r="I17" s="41"/>
      <c r="J17" s="41"/>
      <c r="K17" s="54"/>
      <c r="L17" s="54"/>
      <c r="M17" s="54"/>
      <c r="N17" s="54"/>
      <c r="O17" s="41" t="e">
        <f>AVERAGE(#REF!)</f>
        <v>#REF!</v>
      </c>
      <c r="P17" s="54"/>
      <c r="Q17" s="54"/>
      <c r="R17" s="54"/>
      <c r="S17" s="54"/>
      <c r="T17" s="54"/>
      <c r="U17" s="54"/>
      <c r="V17" s="54"/>
      <c r="W17" s="54"/>
      <c r="X17" s="54"/>
      <c r="Y17" s="8" t="s">
        <v>76</v>
      </c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t="s">
        <v>745</v>
      </c>
    </row>
    <row r="18" spans="1:43" ht="20.100000000000001" customHeight="1" x14ac:dyDescent="0.25">
      <c r="A18" s="57">
        <v>513820</v>
      </c>
      <c r="B18" s="58" t="s">
        <v>8</v>
      </c>
      <c r="C18" s="8" t="s">
        <v>39</v>
      </c>
      <c r="D18" s="54"/>
      <c r="E18" s="54"/>
      <c r="F18" s="54"/>
      <c r="G18" s="54"/>
      <c r="H18" s="41"/>
      <c r="I18" s="41"/>
      <c r="J18" s="41"/>
      <c r="K18" s="54"/>
      <c r="L18" s="54"/>
      <c r="M18" s="54"/>
      <c r="N18" s="54"/>
      <c r="O18" s="41" t="e">
        <f>AVERAGE(#REF!)</f>
        <v>#REF!</v>
      </c>
      <c r="P18" s="54"/>
      <c r="Q18" s="54"/>
      <c r="R18" s="54"/>
      <c r="S18" s="54"/>
      <c r="T18" s="54"/>
      <c r="U18" s="54"/>
      <c r="V18" s="54"/>
      <c r="W18" s="54"/>
      <c r="X18" s="54"/>
      <c r="Y18" s="8" t="s">
        <v>39</v>
      </c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t="s">
        <v>745</v>
      </c>
    </row>
    <row r="19" spans="1:43" ht="20.100000000000001" customHeight="1" x14ac:dyDescent="0.25">
      <c r="A19" s="57">
        <v>514593</v>
      </c>
      <c r="B19" s="58" t="s">
        <v>23</v>
      </c>
      <c r="C19" s="86" t="s">
        <v>76</v>
      </c>
      <c r="D19" s="54"/>
      <c r="E19" s="54"/>
      <c r="F19" s="54"/>
      <c r="G19" s="54"/>
      <c r="H19" s="41"/>
      <c r="I19" s="41"/>
      <c r="J19" s="41"/>
      <c r="K19" s="54"/>
      <c r="L19" s="54"/>
      <c r="M19" s="54"/>
      <c r="N19" s="54"/>
      <c r="O19" s="41" t="e">
        <f>AVERAGE(#REF!)</f>
        <v>#REF!</v>
      </c>
      <c r="P19" s="54"/>
      <c r="Q19" s="54"/>
      <c r="R19" s="54"/>
      <c r="S19" s="54"/>
      <c r="T19" s="54"/>
      <c r="U19" s="54"/>
      <c r="V19" s="54"/>
      <c r="W19" s="54"/>
      <c r="X19" s="54"/>
      <c r="Y19" s="8" t="s">
        <v>76</v>
      </c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t="s">
        <v>745</v>
      </c>
    </row>
    <row r="20" spans="1:43" ht="20.100000000000001" customHeight="1" x14ac:dyDescent="0.25">
      <c r="A20" s="59">
        <v>514682</v>
      </c>
      <c r="B20" s="59" t="s">
        <v>3</v>
      </c>
      <c r="C20" s="8" t="s">
        <v>39</v>
      </c>
      <c r="D20" s="54"/>
      <c r="E20" s="54"/>
      <c r="F20" s="54"/>
      <c r="G20" s="54"/>
      <c r="H20" s="41"/>
      <c r="I20" s="41"/>
      <c r="J20" s="41"/>
      <c r="K20" s="54"/>
      <c r="L20" s="54"/>
      <c r="M20" s="54"/>
      <c r="N20" s="54"/>
      <c r="O20" s="41" t="e">
        <f>AVERAGE(#REF!)</f>
        <v>#REF!</v>
      </c>
      <c r="P20" s="54"/>
      <c r="Q20" s="54"/>
      <c r="R20" s="54"/>
      <c r="S20" s="54"/>
      <c r="T20" s="54"/>
      <c r="U20" s="54"/>
      <c r="V20" s="54"/>
      <c r="W20" s="54"/>
      <c r="X20" s="54"/>
      <c r="Y20" s="8" t="s">
        <v>39</v>
      </c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t="s">
        <v>745</v>
      </c>
    </row>
    <row r="21" spans="1:43" ht="20.100000000000001" customHeight="1" x14ac:dyDescent="0.25">
      <c r="A21" s="61">
        <v>515293</v>
      </c>
      <c r="B21" s="6" t="s">
        <v>7</v>
      </c>
      <c r="C21" s="46" t="s">
        <v>5</v>
      </c>
      <c r="D21" s="54"/>
      <c r="E21" s="54"/>
      <c r="F21" s="54"/>
      <c r="G21" s="54"/>
      <c r="H21" s="41"/>
      <c r="I21" s="41"/>
      <c r="J21" s="41"/>
      <c r="K21" s="54"/>
      <c r="L21" s="54"/>
      <c r="M21" s="54"/>
      <c r="N21" s="54"/>
      <c r="O21" s="41" t="e">
        <f>AVERAGE(#REF!)</f>
        <v>#REF!</v>
      </c>
      <c r="P21" s="54"/>
      <c r="Q21" s="54"/>
      <c r="R21" s="54"/>
      <c r="S21" s="54"/>
      <c r="T21" s="54"/>
      <c r="U21" s="54"/>
      <c r="V21" s="54"/>
      <c r="W21" s="54"/>
      <c r="X21" s="54"/>
      <c r="Y21" s="46" t="s">
        <v>5</v>
      </c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t="s">
        <v>745</v>
      </c>
    </row>
    <row r="22" spans="1:43" ht="20.100000000000001" customHeight="1" x14ac:dyDescent="0.25">
      <c r="A22" s="61">
        <v>515555</v>
      </c>
      <c r="B22" s="6" t="s">
        <v>7</v>
      </c>
      <c r="C22" s="40" t="s">
        <v>4</v>
      </c>
      <c r="D22" s="54"/>
      <c r="E22" s="54"/>
      <c r="F22" s="54"/>
      <c r="G22" s="54"/>
      <c r="H22" s="41"/>
      <c r="I22" s="41"/>
      <c r="J22" s="41"/>
      <c r="K22" s="54"/>
      <c r="L22" s="54"/>
      <c r="M22" s="54"/>
      <c r="N22" s="54"/>
      <c r="O22" s="41" t="e">
        <f>AVERAGE(#REF!)</f>
        <v>#REF!</v>
      </c>
      <c r="P22" s="54"/>
      <c r="Q22" s="54"/>
      <c r="R22" s="54"/>
      <c r="S22" s="54"/>
      <c r="T22" s="54"/>
      <c r="U22" s="54"/>
      <c r="V22" s="54"/>
      <c r="W22" s="54"/>
      <c r="X22" s="54"/>
      <c r="Y22" s="46" t="s">
        <v>4</v>
      </c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t="s">
        <v>745</v>
      </c>
    </row>
    <row r="23" spans="1:43" ht="20.100000000000001" customHeight="1" x14ac:dyDescent="0.25">
      <c r="A23" s="57">
        <v>517108</v>
      </c>
      <c r="B23" s="58" t="s">
        <v>23</v>
      </c>
      <c r="C23" s="8" t="s">
        <v>39</v>
      </c>
      <c r="D23" s="54"/>
      <c r="E23" s="54"/>
      <c r="F23" s="54"/>
      <c r="G23" s="54"/>
      <c r="H23" s="41"/>
      <c r="I23" s="41"/>
      <c r="J23" s="41"/>
      <c r="K23" s="54"/>
      <c r="L23" s="54"/>
      <c r="M23" s="54"/>
      <c r="N23" s="54"/>
      <c r="O23" s="41" t="e">
        <f>AVERAGE(#REF!)</f>
        <v>#REF!</v>
      </c>
      <c r="P23" s="54"/>
      <c r="Q23" s="54"/>
      <c r="R23" s="54"/>
      <c r="S23" s="54"/>
      <c r="T23" s="54"/>
      <c r="U23" s="54"/>
      <c r="V23" s="54"/>
      <c r="W23" s="54"/>
      <c r="X23" s="54"/>
      <c r="Y23" s="8" t="s">
        <v>39</v>
      </c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t="s">
        <v>745</v>
      </c>
    </row>
    <row r="24" spans="1:43" ht="20.100000000000001" customHeight="1" x14ac:dyDescent="0.25">
      <c r="A24" s="59">
        <v>517696</v>
      </c>
      <c r="B24" s="59" t="s">
        <v>3</v>
      </c>
      <c r="C24" s="86" t="s">
        <v>6</v>
      </c>
      <c r="D24" s="54"/>
      <c r="E24" s="54"/>
      <c r="F24" s="54"/>
      <c r="G24" s="54"/>
      <c r="H24" s="41"/>
      <c r="I24" s="41"/>
      <c r="J24" s="41"/>
      <c r="K24" s="54"/>
      <c r="L24" s="54"/>
      <c r="M24" s="54"/>
      <c r="N24" s="54"/>
      <c r="O24" s="41" t="e">
        <f>AVERAGE(#REF!)</f>
        <v>#REF!</v>
      </c>
      <c r="P24" s="54"/>
      <c r="Q24" s="54"/>
      <c r="R24" s="54"/>
      <c r="S24" s="54"/>
      <c r="T24" s="54"/>
      <c r="U24" s="54"/>
      <c r="V24" s="54"/>
      <c r="W24" s="54"/>
      <c r="X24" s="54"/>
      <c r="Y24" s="8" t="s">
        <v>76</v>
      </c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t="s">
        <v>745</v>
      </c>
    </row>
    <row r="25" spans="1:43" ht="20.100000000000001" customHeight="1" x14ac:dyDescent="0.25">
      <c r="A25" s="57">
        <v>518267</v>
      </c>
      <c r="B25" s="58" t="s">
        <v>23</v>
      </c>
      <c r="C25" s="8" t="s">
        <v>39</v>
      </c>
      <c r="D25" s="54"/>
      <c r="E25" s="54"/>
      <c r="F25" s="54"/>
      <c r="G25" s="54"/>
      <c r="H25" s="41"/>
      <c r="I25" s="41"/>
      <c r="J25" s="41"/>
      <c r="K25" s="54"/>
      <c r="L25" s="54"/>
      <c r="M25" s="54"/>
      <c r="N25" s="54"/>
      <c r="O25" s="41" t="e">
        <f>AVERAGE(#REF!)</f>
        <v>#REF!</v>
      </c>
      <c r="P25" s="54"/>
      <c r="Q25" s="54"/>
      <c r="R25" s="54"/>
      <c r="S25" s="54"/>
      <c r="T25" s="54"/>
      <c r="U25" s="54"/>
      <c r="V25" s="54"/>
      <c r="W25" s="54"/>
      <c r="X25" s="54"/>
      <c r="Y25" s="8" t="s">
        <v>39</v>
      </c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t="s">
        <v>745</v>
      </c>
    </row>
    <row r="26" spans="1:43" ht="20.100000000000001" customHeight="1" x14ac:dyDescent="0.25">
      <c r="A26" s="57">
        <v>518975</v>
      </c>
      <c r="B26" s="58" t="s">
        <v>23</v>
      </c>
      <c r="C26" s="86" t="s">
        <v>76</v>
      </c>
      <c r="D26" s="54"/>
      <c r="E26" s="54"/>
      <c r="F26" s="54"/>
      <c r="G26" s="54"/>
      <c r="H26" s="41"/>
      <c r="I26" s="41"/>
      <c r="J26" s="41"/>
      <c r="K26" s="54"/>
      <c r="L26" s="54"/>
      <c r="M26" s="54"/>
      <c r="N26" s="54"/>
      <c r="O26" s="41" t="e">
        <f>AVERAGE(#REF!)</f>
        <v>#REF!</v>
      </c>
      <c r="P26" s="54"/>
      <c r="Q26" s="54"/>
      <c r="R26" s="54"/>
      <c r="S26" s="54"/>
      <c r="T26" s="54"/>
      <c r="U26" s="54"/>
      <c r="V26" s="54"/>
      <c r="W26" s="54"/>
      <c r="X26" s="54"/>
      <c r="Y26" s="8" t="s">
        <v>76</v>
      </c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t="s">
        <v>745</v>
      </c>
    </row>
    <row r="27" spans="1:43" ht="20.100000000000001" customHeight="1" x14ac:dyDescent="0.25">
      <c r="A27" s="57">
        <v>519588</v>
      </c>
      <c r="B27" s="6" t="s">
        <v>7</v>
      </c>
      <c r="C27" s="51" t="s">
        <v>4</v>
      </c>
      <c r="D27" s="54"/>
      <c r="E27" s="54"/>
      <c r="F27" s="54"/>
      <c r="G27" s="54"/>
      <c r="H27" s="41"/>
      <c r="I27" s="41"/>
      <c r="J27" s="41"/>
      <c r="K27" s="54"/>
      <c r="L27" s="54"/>
      <c r="M27" s="54"/>
      <c r="N27" s="54"/>
      <c r="O27" s="41" t="e">
        <f>AVERAGE(#REF!)</f>
        <v>#REF!</v>
      </c>
      <c r="P27" s="54"/>
      <c r="Q27" s="54"/>
      <c r="R27" s="54"/>
      <c r="S27" s="54"/>
      <c r="T27" s="54"/>
      <c r="U27" s="54"/>
      <c r="V27" s="54"/>
      <c r="W27" s="54"/>
      <c r="X27" s="54"/>
      <c r="Y27" s="8" t="s">
        <v>4</v>
      </c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t="s">
        <v>745</v>
      </c>
    </row>
    <row r="28" spans="1:43" ht="20.100000000000001" customHeight="1" x14ac:dyDescent="0.25">
      <c r="A28" s="59">
        <v>519933</v>
      </c>
      <c r="B28" s="59" t="s">
        <v>3</v>
      </c>
      <c r="C28" s="8" t="s">
        <v>39</v>
      </c>
      <c r="D28" s="54"/>
      <c r="E28" s="54"/>
      <c r="F28" s="54"/>
      <c r="G28" s="54"/>
      <c r="H28" s="41"/>
      <c r="I28" s="41"/>
      <c r="J28" s="41"/>
      <c r="K28" s="54"/>
      <c r="L28" s="54"/>
      <c r="M28" s="54"/>
      <c r="N28" s="54"/>
      <c r="O28" s="41" t="e">
        <f>AVERAGE(#REF!)</f>
        <v>#REF!</v>
      </c>
      <c r="P28" s="54"/>
      <c r="Q28" s="54"/>
      <c r="R28" s="54"/>
      <c r="S28" s="54"/>
      <c r="T28" s="54"/>
      <c r="U28" s="54"/>
      <c r="V28" s="54"/>
      <c r="W28" s="54"/>
      <c r="X28" s="54"/>
      <c r="Y28" s="8" t="s">
        <v>39</v>
      </c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t="s">
        <v>745</v>
      </c>
    </row>
    <row r="29" spans="1:43" ht="20.100000000000001" customHeight="1" x14ac:dyDescent="0.25">
      <c r="A29" s="57">
        <v>520317</v>
      </c>
      <c r="B29" s="58" t="s">
        <v>23</v>
      </c>
      <c r="C29" s="8" t="s">
        <v>39</v>
      </c>
      <c r="D29" s="54"/>
      <c r="E29" s="54"/>
      <c r="F29" s="54"/>
      <c r="G29" s="54"/>
      <c r="H29" s="41"/>
      <c r="I29" s="41"/>
      <c r="J29" s="41"/>
      <c r="K29" s="54"/>
      <c r="L29" s="54"/>
      <c r="M29" s="54"/>
      <c r="N29" s="54"/>
      <c r="O29" s="41" t="e">
        <f>AVERAGE(#REF!)</f>
        <v>#REF!</v>
      </c>
      <c r="P29" s="54"/>
      <c r="Q29" s="54"/>
      <c r="R29" s="54"/>
      <c r="S29" s="54"/>
      <c r="T29" s="54"/>
      <c r="U29" s="54"/>
      <c r="V29" s="54"/>
      <c r="W29" s="54"/>
      <c r="X29" s="54"/>
      <c r="Y29" s="8" t="s">
        <v>39</v>
      </c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t="s">
        <v>745</v>
      </c>
    </row>
    <row r="30" spans="1:43" ht="20.100000000000001" customHeight="1" x14ac:dyDescent="0.25">
      <c r="A30" s="59">
        <v>520352</v>
      </c>
      <c r="B30" s="59" t="s">
        <v>3</v>
      </c>
      <c r="C30" s="86" t="s">
        <v>6</v>
      </c>
      <c r="D30" s="54"/>
      <c r="E30" s="54"/>
      <c r="F30" s="54"/>
      <c r="G30" s="54"/>
      <c r="H30" s="41"/>
      <c r="I30" s="41"/>
      <c r="J30" s="41"/>
      <c r="K30" s="54"/>
      <c r="L30" s="54"/>
      <c r="M30" s="54"/>
      <c r="N30" s="54"/>
      <c r="O30" s="41" t="e">
        <f>AVERAGE(#REF!)</f>
        <v>#REF!</v>
      </c>
      <c r="P30" s="54"/>
      <c r="Q30" s="54"/>
      <c r="R30" s="54"/>
      <c r="S30" s="54"/>
      <c r="T30" s="54"/>
      <c r="U30" s="54"/>
      <c r="V30" s="54"/>
      <c r="W30" s="54"/>
      <c r="X30" s="54"/>
      <c r="Y30" s="8" t="s">
        <v>39</v>
      </c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t="s">
        <v>747</v>
      </c>
    </row>
    <row r="31" spans="1:43" ht="20.100000000000001" customHeight="1" x14ac:dyDescent="0.25">
      <c r="A31" s="59">
        <v>522718</v>
      </c>
      <c r="B31" s="59" t="s">
        <v>3</v>
      </c>
      <c r="C31" s="8" t="s">
        <v>39</v>
      </c>
      <c r="D31" s="54"/>
      <c r="E31" s="54"/>
      <c r="F31" s="54"/>
      <c r="G31" s="54"/>
      <c r="H31" s="41"/>
      <c r="I31" s="41"/>
      <c r="J31" s="41"/>
      <c r="K31" s="54"/>
      <c r="L31" s="54"/>
      <c r="M31" s="54"/>
      <c r="N31" s="54"/>
      <c r="O31" s="41" t="e">
        <f>AVERAGE(#REF!)</f>
        <v>#REF!</v>
      </c>
      <c r="P31" s="54"/>
      <c r="Q31" s="54"/>
      <c r="R31" s="54"/>
      <c r="S31" s="54"/>
      <c r="T31" s="54"/>
      <c r="U31" s="54"/>
      <c r="V31" s="54"/>
      <c r="W31" s="54"/>
      <c r="X31" s="54"/>
      <c r="Y31" s="8" t="s">
        <v>39</v>
      </c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t="s">
        <v>745</v>
      </c>
    </row>
    <row r="32" spans="1:43" ht="20.100000000000001" customHeight="1" x14ac:dyDescent="0.25">
      <c r="A32" s="60">
        <v>523229</v>
      </c>
      <c r="B32" s="58" t="s">
        <v>23</v>
      </c>
      <c r="C32" s="86" t="s">
        <v>76</v>
      </c>
      <c r="D32" s="54"/>
      <c r="E32" s="54"/>
      <c r="F32" s="54"/>
      <c r="G32" s="54"/>
      <c r="H32" s="41"/>
      <c r="I32" s="41"/>
      <c r="J32" s="41"/>
      <c r="K32" s="54"/>
      <c r="L32" s="54"/>
      <c r="M32" s="54"/>
      <c r="N32" s="54"/>
      <c r="O32" s="41" t="e">
        <f>AVERAGE(#REF!)</f>
        <v>#REF!</v>
      </c>
      <c r="P32" s="54"/>
      <c r="Q32" s="54"/>
      <c r="R32" s="54"/>
      <c r="S32" s="54"/>
      <c r="T32" s="54"/>
      <c r="U32" s="54"/>
      <c r="V32" s="54"/>
      <c r="W32" s="54"/>
      <c r="X32" s="54"/>
      <c r="Y32" s="8" t="s">
        <v>76</v>
      </c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t="s">
        <v>745</v>
      </c>
    </row>
    <row r="33" spans="1:43" ht="20.100000000000001" customHeight="1" x14ac:dyDescent="0.25">
      <c r="A33" s="59">
        <v>523602</v>
      </c>
      <c r="B33" s="59" t="s">
        <v>3</v>
      </c>
      <c r="C33" s="86" t="s">
        <v>76</v>
      </c>
      <c r="D33" s="54"/>
      <c r="E33" s="54"/>
      <c r="F33" s="54"/>
      <c r="G33" s="54"/>
      <c r="H33" s="41"/>
      <c r="I33" s="41"/>
      <c r="J33" s="41"/>
      <c r="K33" s="54"/>
      <c r="L33" s="54"/>
      <c r="M33" s="54"/>
      <c r="N33" s="54"/>
      <c r="O33" s="41" t="e">
        <f>AVERAGE(#REF!)</f>
        <v>#REF!</v>
      </c>
      <c r="P33" s="54"/>
      <c r="Q33" s="54"/>
      <c r="R33" s="54"/>
      <c r="S33" s="54"/>
      <c r="T33" s="54"/>
      <c r="U33" s="54"/>
      <c r="V33" s="54"/>
      <c r="W33" s="54"/>
      <c r="X33" s="54"/>
      <c r="Y33" s="8" t="s">
        <v>76</v>
      </c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t="s">
        <v>745</v>
      </c>
    </row>
    <row r="34" spans="1:43" ht="20.100000000000001" customHeight="1" x14ac:dyDescent="0.25">
      <c r="A34" s="60">
        <v>524225</v>
      </c>
      <c r="B34" s="6" t="s">
        <v>7</v>
      </c>
      <c r="C34" s="46" t="s">
        <v>5</v>
      </c>
      <c r="D34" s="54"/>
      <c r="E34" s="54"/>
      <c r="F34" s="54"/>
      <c r="G34" s="54"/>
      <c r="H34" s="41"/>
      <c r="I34" s="41"/>
      <c r="J34" s="41"/>
      <c r="K34" s="54"/>
      <c r="L34" s="54"/>
      <c r="M34" s="54"/>
      <c r="N34" s="54"/>
      <c r="O34" s="41" t="e">
        <f>AVERAGE(#REF!)</f>
        <v>#REF!</v>
      </c>
      <c r="P34" s="54"/>
      <c r="Q34" s="54"/>
      <c r="R34" s="54"/>
      <c r="S34" s="54"/>
      <c r="T34" s="54"/>
      <c r="U34" s="54"/>
      <c r="V34" s="54"/>
      <c r="W34" s="54"/>
      <c r="X34" s="54"/>
      <c r="Y34" s="8" t="s">
        <v>5</v>
      </c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t="s">
        <v>745</v>
      </c>
    </row>
    <row r="35" spans="1:43" ht="20.100000000000001" customHeight="1" x14ac:dyDescent="0.25">
      <c r="A35" s="59">
        <v>525068</v>
      </c>
      <c r="B35" s="59" t="s">
        <v>3</v>
      </c>
      <c r="C35" s="86" t="s">
        <v>6</v>
      </c>
      <c r="D35" s="54"/>
      <c r="E35" s="54"/>
      <c r="F35" s="54"/>
      <c r="G35" s="54"/>
      <c r="H35" s="41"/>
      <c r="I35" s="41"/>
      <c r="J35" s="41"/>
      <c r="K35" s="54"/>
      <c r="L35" s="54"/>
      <c r="M35" s="54"/>
      <c r="N35" s="54"/>
      <c r="O35" s="41" t="e">
        <f>AVERAGE(#REF!)</f>
        <v>#REF!</v>
      </c>
      <c r="P35" s="54"/>
      <c r="Q35" s="54"/>
      <c r="R35" s="54"/>
      <c r="S35" s="54"/>
      <c r="T35" s="54"/>
      <c r="U35" s="54"/>
      <c r="V35" s="54"/>
      <c r="W35" s="54"/>
      <c r="X35" s="54"/>
      <c r="Y35" s="8" t="s">
        <v>5</v>
      </c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t="s">
        <v>745</v>
      </c>
    </row>
    <row r="36" spans="1:43" ht="20.100000000000001" customHeight="1" x14ac:dyDescent="0.25">
      <c r="A36" s="59">
        <v>526684</v>
      </c>
      <c r="B36" s="59" t="s">
        <v>3</v>
      </c>
      <c r="C36" s="8" t="s">
        <v>5</v>
      </c>
      <c r="D36" s="54"/>
      <c r="E36" s="54"/>
      <c r="F36" s="54"/>
      <c r="G36" s="54"/>
      <c r="H36" s="41"/>
      <c r="I36" s="41"/>
      <c r="J36" s="41"/>
      <c r="K36" s="54"/>
      <c r="L36" s="54"/>
      <c r="M36" s="54"/>
      <c r="N36" s="54"/>
      <c r="O36" s="41" t="e">
        <f>AVERAGE(#REF!)</f>
        <v>#REF!</v>
      </c>
      <c r="P36" s="54"/>
      <c r="Q36" s="54"/>
      <c r="R36" s="54"/>
      <c r="S36" s="54"/>
      <c r="T36" s="54"/>
      <c r="U36" s="54"/>
      <c r="V36" s="54"/>
      <c r="W36" s="54"/>
      <c r="X36" s="54"/>
      <c r="Y36" s="8" t="s">
        <v>39</v>
      </c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t="s">
        <v>745</v>
      </c>
    </row>
    <row r="37" spans="1:43" ht="20.100000000000001" customHeight="1" x14ac:dyDescent="0.25">
      <c r="A37" s="64">
        <v>527855</v>
      </c>
      <c r="B37" s="6" t="s">
        <v>7</v>
      </c>
      <c r="C37" s="86" t="s">
        <v>76</v>
      </c>
      <c r="D37" s="54"/>
      <c r="E37" s="54"/>
      <c r="F37" s="54"/>
      <c r="G37" s="54"/>
      <c r="H37" s="41"/>
      <c r="I37" s="41"/>
      <c r="J37" s="41"/>
      <c r="K37" s="54"/>
      <c r="L37" s="54"/>
      <c r="M37" s="54"/>
      <c r="N37" s="54"/>
      <c r="O37" s="41" t="e">
        <f>AVERAGE(#REF!)</f>
        <v>#REF!</v>
      </c>
      <c r="P37" s="54"/>
      <c r="Q37" s="54"/>
      <c r="R37" s="54"/>
      <c r="S37" s="54"/>
      <c r="T37" s="54"/>
      <c r="U37" s="54"/>
      <c r="V37" s="54"/>
      <c r="W37" s="54"/>
      <c r="X37" s="54"/>
      <c r="Y37" s="8" t="s">
        <v>76</v>
      </c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t="s">
        <v>745</v>
      </c>
    </row>
    <row r="38" spans="1:43" ht="20.100000000000001" customHeight="1" x14ac:dyDescent="0.25">
      <c r="B38" s="104"/>
      <c r="C38" s="54"/>
      <c r="D38" s="54"/>
      <c r="E38" s="54"/>
      <c r="F38" s="54"/>
      <c r="G38" s="54"/>
      <c r="H38" s="41"/>
      <c r="I38" s="41"/>
      <c r="J38" s="41"/>
      <c r="K38" s="54"/>
      <c r="L38" s="54"/>
      <c r="M38" s="54"/>
      <c r="N38" s="54"/>
      <c r="O38" s="41" t="e">
        <f>AVERAGE(#REF!)</f>
        <v>#REF!</v>
      </c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</row>
    <row r="39" spans="1:43" ht="20.100000000000001" customHeight="1" x14ac:dyDescent="0.25">
      <c r="B39" s="54"/>
      <c r="C39" s="54"/>
      <c r="D39" s="54"/>
      <c r="E39" s="54"/>
      <c r="F39" s="54"/>
      <c r="G39" s="54"/>
      <c r="H39" s="41"/>
      <c r="I39" s="41"/>
      <c r="J39" s="41"/>
      <c r="K39" s="54"/>
      <c r="L39" s="54"/>
      <c r="M39" s="54"/>
      <c r="N39" s="54"/>
      <c r="O39" s="41" t="e">
        <f>AVERAGE(#REF!)</f>
        <v>#REF!</v>
      </c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</row>
    <row r="40" spans="1:43" ht="20.100000000000001" customHeight="1" x14ac:dyDescent="0.25">
      <c r="B40" s="54"/>
      <c r="C40" s="54"/>
      <c r="D40" s="54"/>
      <c r="E40" s="54"/>
      <c r="F40" s="54"/>
      <c r="G40" s="54"/>
      <c r="H40" s="41"/>
      <c r="I40" s="41"/>
      <c r="J40" s="41"/>
      <c r="K40" s="54"/>
      <c r="L40" s="54"/>
      <c r="M40" s="54"/>
      <c r="N40" s="54"/>
      <c r="O40" s="41" t="e">
        <f>AVERAGE(#REF!)</f>
        <v>#REF!</v>
      </c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</row>
    <row r="41" spans="1:43" ht="20.100000000000001" customHeight="1" x14ac:dyDescent="0.25">
      <c r="B41" s="54"/>
      <c r="C41" s="54"/>
      <c r="D41" s="54"/>
      <c r="E41" s="54"/>
      <c r="F41" s="54"/>
      <c r="G41" s="54"/>
      <c r="H41" s="41"/>
      <c r="I41" s="41"/>
      <c r="J41" s="41"/>
      <c r="K41" s="54"/>
      <c r="L41" s="54"/>
      <c r="M41" s="54"/>
      <c r="N41" s="54"/>
      <c r="O41" s="41" t="e">
        <f>AVERAGE(#REF!)</f>
        <v>#REF!</v>
      </c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</row>
    <row r="42" spans="1:43" ht="20.100000000000001" customHeight="1" x14ac:dyDescent="0.25">
      <c r="B42" s="54"/>
      <c r="C42" s="54"/>
      <c r="D42" s="54"/>
      <c r="E42" s="54"/>
      <c r="F42" s="54"/>
      <c r="G42" s="54"/>
      <c r="H42" s="41"/>
      <c r="I42" s="41"/>
      <c r="J42" s="41"/>
      <c r="K42" s="54"/>
      <c r="L42" s="54"/>
      <c r="M42" s="54"/>
      <c r="N42" s="54"/>
      <c r="O42" s="41" t="e">
        <f>AVERAGE(#REF!)</f>
        <v>#REF!</v>
      </c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</row>
    <row r="43" spans="1:43" ht="20.100000000000001" customHeight="1" x14ac:dyDescent="0.25">
      <c r="B43" s="54"/>
      <c r="C43" s="54"/>
      <c r="D43" s="54"/>
      <c r="E43" s="54"/>
      <c r="F43" s="54"/>
      <c r="G43" s="54"/>
      <c r="H43" s="41"/>
      <c r="I43" s="41"/>
      <c r="J43" s="41"/>
      <c r="K43" s="54"/>
      <c r="L43" s="54"/>
      <c r="M43" s="54"/>
      <c r="N43" s="54"/>
      <c r="O43" s="41" t="e">
        <f>AVERAGE(#REF!)</f>
        <v>#REF!</v>
      </c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</row>
    <row r="44" spans="1:43" ht="20.100000000000001" customHeight="1" x14ac:dyDescent="0.25">
      <c r="B44" s="54"/>
      <c r="C44" s="54"/>
      <c r="D44" s="54"/>
      <c r="E44" s="54"/>
      <c r="F44" s="54"/>
      <c r="G44" s="54"/>
      <c r="H44" s="41"/>
      <c r="I44" s="41"/>
      <c r="J44" s="41"/>
      <c r="K44" s="54"/>
      <c r="L44" s="54"/>
      <c r="M44" s="54"/>
      <c r="N44" s="54"/>
      <c r="O44" s="41" t="e">
        <f>AVERAGE(#REF!)</f>
        <v>#REF!</v>
      </c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</row>
    <row r="45" spans="1:43" ht="20.100000000000001" customHeight="1" x14ac:dyDescent="0.25">
      <c r="B45" s="54"/>
      <c r="C45" s="54"/>
      <c r="D45" s="54"/>
      <c r="E45" s="54"/>
      <c r="F45" s="54"/>
      <c r="G45" s="54"/>
      <c r="H45" s="41"/>
      <c r="I45" s="41"/>
      <c r="J45" s="41"/>
      <c r="K45" s="54"/>
      <c r="L45" s="54"/>
      <c r="M45" s="54"/>
      <c r="N45" s="54"/>
      <c r="O45" s="41" t="e">
        <f>AVERAGE(#REF!)</f>
        <v>#REF!</v>
      </c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</row>
    <row r="46" spans="1:43" ht="20.100000000000001" customHeight="1" x14ac:dyDescent="0.25">
      <c r="B46" s="54"/>
      <c r="C46" s="54"/>
      <c r="D46" s="54"/>
      <c r="E46" s="54"/>
      <c r="F46" s="54"/>
      <c r="G46" s="54"/>
      <c r="H46" s="41"/>
      <c r="I46" s="41"/>
      <c r="J46" s="41"/>
      <c r="K46" s="54"/>
      <c r="L46" s="54"/>
      <c r="M46" s="54"/>
      <c r="N46" s="54"/>
      <c r="O46" s="41" t="e">
        <f>AVERAGE(#REF!)</f>
        <v>#REF!</v>
      </c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</row>
    <row r="47" spans="1:43" ht="20.100000000000001" customHeight="1" x14ac:dyDescent="0.25">
      <c r="B47" s="54"/>
      <c r="C47" s="54"/>
      <c r="D47" s="54"/>
      <c r="E47" s="54"/>
      <c r="F47" s="54"/>
      <c r="G47" s="54"/>
      <c r="H47" s="41"/>
      <c r="I47" s="41"/>
      <c r="J47" s="41"/>
      <c r="K47" s="54"/>
      <c r="L47" s="54"/>
      <c r="M47" s="54"/>
      <c r="N47" s="54"/>
      <c r="O47" s="41" t="e">
        <f>AVERAGE(#REF!)</f>
        <v>#REF!</v>
      </c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</row>
    <row r="48" spans="1:43" ht="20.100000000000001" customHeight="1" x14ac:dyDescent="0.25">
      <c r="B48" s="54"/>
      <c r="C48" s="54"/>
      <c r="D48" s="54"/>
      <c r="E48" s="54"/>
      <c r="F48" s="54"/>
      <c r="G48" s="54"/>
      <c r="H48" s="41"/>
      <c r="I48" s="41"/>
      <c r="J48" s="41"/>
      <c r="K48" s="54"/>
      <c r="L48" s="54"/>
      <c r="M48" s="54"/>
      <c r="N48" s="54"/>
      <c r="O48" s="41" t="e">
        <f>AVERAGE(#REF!)</f>
        <v>#REF!</v>
      </c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</row>
    <row r="49" spans="2:42" ht="20.100000000000001" customHeight="1" x14ac:dyDescent="0.25">
      <c r="B49" s="54"/>
      <c r="C49" s="54"/>
      <c r="D49" s="54"/>
      <c r="E49" s="54"/>
      <c r="F49" s="54"/>
      <c r="G49" s="54"/>
      <c r="H49" s="41"/>
      <c r="I49" s="41"/>
      <c r="J49" s="41"/>
      <c r="K49" s="54"/>
      <c r="L49" s="54"/>
      <c r="M49" s="54"/>
      <c r="N49" s="54"/>
      <c r="O49" s="41" t="e">
        <f t="shared" ref="O49:O110" si="2">AVERAGE(O1:O48)</f>
        <v>#REF!</v>
      </c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</row>
    <row r="50" spans="2:42" ht="20.100000000000001" customHeight="1" x14ac:dyDescent="0.25">
      <c r="B50" s="54"/>
      <c r="C50" s="54"/>
      <c r="D50" s="54"/>
      <c r="E50" s="54"/>
      <c r="F50" s="54"/>
      <c r="G50" s="54"/>
      <c r="H50" s="41"/>
      <c r="I50" s="41"/>
      <c r="J50" s="41"/>
      <c r="K50" s="54"/>
      <c r="L50" s="54"/>
      <c r="M50" s="54"/>
      <c r="N50" s="54"/>
      <c r="O50" s="41" t="e">
        <f t="shared" si="2"/>
        <v>#REF!</v>
      </c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</row>
    <row r="51" spans="2:42" ht="20.100000000000001" customHeight="1" x14ac:dyDescent="0.25">
      <c r="B51" s="54"/>
      <c r="C51" s="54"/>
      <c r="D51" s="54"/>
      <c r="E51" s="54"/>
      <c r="F51" s="54"/>
      <c r="G51" s="54"/>
      <c r="H51" s="41"/>
      <c r="I51" s="41"/>
      <c r="J51" s="41"/>
      <c r="K51" s="54"/>
      <c r="L51" s="54"/>
      <c r="M51" s="54"/>
      <c r="N51" s="54"/>
      <c r="O51" s="41" t="e">
        <f t="shared" si="2"/>
        <v>#REF!</v>
      </c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</row>
    <row r="52" spans="2:42" ht="20.100000000000001" customHeight="1" x14ac:dyDescent="0.25">
      <c r="B52" s="54"/>
      <c r="C52" s="54"/>
      <c r="D52" s="54"/>
      <c r="E52" s="54"/>
      <c r="F52" s="54"/>
      <c r="G52" s="54"/>
      <c r="H52" s="41"/>
      <c r="I52" s="41"/>
      <c r="J52" s="41"/>
      <c r="K52" s="54"/>
      <c r="L52" s="54"/>
      <c r="M52" s="54"/>
      <c r="N52" s="54"/>
      <c r="O52" s="41" t="e">
        <f t="shared" si="2"/>
        <v>#REF!</v>
      </c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</row>
    <row r="53" spans="2:42" ht="20.100000000000001" customHeight="1" x14ac:dyDescent="0.25">
      <c r="B53" s="54"/>
      <c r="C53" s="54"/>
      <c r="D53" s="54"/>
      <c r="E53" s="54"/>
      <c r="F53" s="54"/>
      <c r="G53" s="54"/>
      <c r="H53" s="41"/>
      <c r="I53" s="41"/>
      <c r="J53" s="41"/>
      <c r="K53" s="54"/>
      <c r="L53" s="54"/>
      <c r="M53" s="54"/>
      <c r="N53" s="54"/>
      <c r="O53" s="41" t="e">
        <f t="shared" si="2"/>
        <v>#REF!</v>
      </c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</row>
    <row r="54" spans="2:42" ht="20.100000000000001" customHeight="1" x14ac:dyDescent="0.25">
      <c r="B54" s="54"/>
      <c r="C54" s="54"/>
      <c r="D54" s="54"/>
      <c r="E54" s="54"/>
      <c r="F54" s="54"/>
      <c r="G54" s="54"/>
      <c r="H54" s="41"/>
      <c r="I54" s="41"/>
      <c r="J54" s="41"/>
      <c r="K54" s="54"/>
      <c r="L54" s="54"/>
      <c r="M54" s="54"/>
      <c r="N54" s="54"/>
      <c r="O54" s="41" t="e">
        <f t="shared" si="2"/>
        <v>#REF!</v>
      </c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</row>
    <row r="55" spans="2:42" ht="20.100000000000001" customHeight="1" x14ac:dyDescent="0.25">
      <c r="B55" s="54"/>
      <c r="C55" s="54"/>
      <c r="D55" s="54"/>
      <c r="E55" s="54"/>
      <c r="F55" s="54"/>
      <c r="G55" s="54"/>
      <c r="H55" s="41"/>
      <c r="I55" s="41"/>
      <c r="J55" s="41"/>
      <c r="K55" s="54"/>
      <c r="L55" s="54"/>
      <c r="M55" s="54"/>
      <c r="N55" s="54"/>
      <c r="O55" s="41" t="e">
        <f t="shared" si="2"/>
        <v>#REF!</v>
      </c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</row>
    <row r="56" spans="2:42" ht="20.100000000000001" customHeight="1" x14ac:dyDescent="0.25">
      <c r="B56" s="54"/>
      <c r="C56" s="54"/>
      <c r="D56" s="54"/>
      <c r="E56" s="54"/>
      <c r="F56" s="54"/>
      <c r="G56" s="54"/>
      <c r="H56" s="41"/>
      <c r="I56" s="41"/>
      <c r="J56" s="41"/>
      <c r="K56" s="54"/>
      <c r="L56" s="54"/>
      <c r="M56" s="54"/>
      <c r="N56" s="54"/>
      <c r="O56" s="41" t="e">
        <f t="shared" si="2"/>
        <v>#REF!</v>
      </c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</row>
    <row r="57" spans="2:42" ht="20.100000000000001" customHeight="1" x14ac:dyDescent="0.25">
      <c r="B57" s="54"/>
      <c r="C57" s="54"/>
      <c r="D57" s="54"/>
      <c r="E57" s="54"/>
      <c r="F57" s="54"/>
      <c r="G57" s="54"/>
      <c r="H57" s="41"/>
      <c r="I57" s="41"/>
      <c r="J57" s="41"/>
      <c r="K57" s="54"/>
      <c r="L57" s="54"/>
      <c r="M57" s="54"/>
      <c r="N57" s="54"/>
      <c r="O57" s="41" t="e">
        <f t="shared" si="2"/>
        <v>#REF!</v>
      </c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</row>
    <row r="58" spans="2:42" ht="20.100000000000001" customHeight="1" x14ac:dyDescent="0.25">
      <c r="B58" s="54"/>
      <c r="C58" s="54"/>
      <c r="D58" s="54"/>
      <c r="E58" s="54"/>
      <c r="F58" s="54"/>
      <c r="G58" s="54"/>
      <c r="H58" s="41"/>
      <c r="I58" s="41"/>
      <c r="J58" s="41"/>
      <c r="K58" s="54"/>
      <c r="L58" s="54"/>
      <c r="M58" s="54"/>
      <c r="N58" s="54"/>
      <c r="O58" s="41" t="e">
        <f t="shared" si="2"/>
        <v>#REF!</v>
      </c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</row>
    <row r="59" spans="2:42" ht="20.100000000000001" customHeight="1" x14ac:dyDescent="0.25">
      <c r="B59" s="54"/>
      <c r="C59" s="54"/>
      <c r="D59" s="54"/>
      <c r="E59" s="54"/>
      <c r="F59" s="54"/>
      <c r="G59" s="54"/>
      <c r="H59" s="41"/>
      <c r="I59" s="41"/>
      <c r="J59" s="41"/>
      <c r="K59" s="54"/>
      <c r="L59" s="54"/>
      <c r="M59" s="54"/>
      <c r="N59" s="54"/>
      <c r="O59" s="41" t="e">
        <f t="shared" si="2"/>
        <v>#REF!</v>
      </c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</row>
    <row r="60" spans="2:42" ht="20.100000000000001" customHeight="1" x14ac:dyDescent="0.25">
      <c r="B60" s="54"/>
      <c r="C60" s="54"/>
      <c r="D60" s="54"/>
      <c r="E60" s="54"/>
      <c r="F60" s="54"/>
      <c r="G60" s="54"/>
      <c r="H60" s="41"/>
      <c r="I60" s="41"/>
      <c r="J60" s="41"/>
      <c r="K60" s="54"/>
      <c r="L60" s="54"/>
      <c r="M60" s="54"/>
      <c r="N60" s="54"/>
      <c r="O60" s="41" t="e">
        <f t="shared" si="2"/>
        <v>#REF!</v>
      </c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</row>
    <row r="61" spans="2:42" ht="20.100000000000001" customHeight="1" x14ac:dyDescent="0.25">
      <c r="B61" s="54"/>
      <c r="C61" s="54"/>
      <c r="D61" s="54"/>
      <c r="E61" s="54"/>
      <c r="F61" s="54"/>
      <c r="G61" s="54"/>
      <c r="H61" s="41"/>
      <c r="I61" s="41"/>
      <c r="J61" s="41"/>
      <c r="K61" s="54"/>
      <c r="L61" s="54"/>
      <c r="M61" s="54"/>
      <c r="N61" s="54"/>
      <c r="O61" s="41" t="e">
        <f t="shared" si="2"/>
        <v>#REF!</v>
      </c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</row>
    <row r="62" spans="2:42" ht="20.100000000000001" customHeight="1" x14ac:dyDescent="0.25">
      <c r="B62" s="54"/>
      <c r="C62" s="54"/>
      <c r="D62" s="54"/>
      <c r="E62" s="54"/>
      <c r="F62" s="54"/>
      <c r="G62" s="54"/>
      <c r="H62" s="41"/>
      <c r="I62" s="41"/>
      <c r="J62" s="41"/>
      <c r="K62" s="54"/>
      <c r="L62" s="54"/>
      <c r="M62" s="54"/>
      <c r="N62" s="54"/>
      <c r="O62" s="41" t="e">
        <f t="shared" si="2"/>
        <v>#REF!</v>
      </c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</row>
    <row r="63" spans="2:42" ht="20.100000000000001" customHeight="1" x14ac:dyDescent="0.25">
      <c r="B63" s="54"/>
      <c r="C63" s="54"/>
      <c r="D63" s="54"/>
      <c r="E63" s="54"/>
      <c r="F63" s="54"/>
      <c r="G63" s="54"/>
      <c r="H63" s="41"/>
      <c r="I63" s="41"/>
      <c r="J63" s="41"/>
      <c r="K63" s="54"/>
      <c r="L63" s="54"/>
      <c r="M63" s="54"/>
      <c r="N63" s="54"/>
      <c r="O63" s="41" t="e">
        <f t="shared" si="2"/>
        <v>#REF!</v>
      </c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</row>
    <row r="64" spans="2:42" ht="20.100000000000001" customHeight="1" x14ac:dyDescent="0.25">
      <c r="B64" s="54"/>
      <c r="C64" s="54"/>
      <c r="D64" s="54"/>
      <c r="E64" s="54"/>
      <c r="F64" s="54"/>
      <c r="G64" s="54"/>
      <c r="H64" s="41"/>
      <c r="I64" s="41"/>
      <c r="J64" s="41"/>
      <c r="K64" s="54"/>
      <c r="L64" s="54"/>
      <c r="M64" s="54"/>
      <c r="N64" s="54"/>
      <c r="O64" s="41" t="e">
        <f t="shared" si="2"/>
        <v>#REF!</v>
      </c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</row>
    <row r="65" spans="2:42" ht="20.100000000000001" customHeight="1" x14ac:dyDescent="0.25">
      <c r="B65" s="54"/>
      <c r="C65" s="54"/>
      <c r="D65" s="54"/>
      <c r="E65" s="54"/>
      <c r="F65" s="54"/>
      <c r="G65" s="54"/>
      <c r="H65" s="41"/>
      <c r="I65" s="41"/>
      <c r="J65" s="41"/>
      <c r="K65" s="54"/>
      <c r="L65" s="54"/>
      <c r="M65" s="54"/>
      <c r="N65" s="54"/>
      <c r="O65" s="41" t="e">
        <f t="shared" si="2"/>
        <v>#REF!</v>
      </c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</row>
    <row r="66" spans="2:42" ht="20.100000000000001" customHeight="1" x14ac:dyDescent="0.25">
      <c r="B66" s="54"/>
      <c r="C66" s="54"/>
      <c r="D66" s="54"/>
      <c r="E66" s="54"/>
      <c r="F66" s="54"/>
      <c r="G66" s="54"/>
      <c r="H66" s="41"/>
      <c r="I66" s="41"/>
      <c r="J66" s="41"/>
      <c r="K66" s="54"/>
      <c r="L66" s="54"/>
      <c r="M66" s="54"/>
      <c r="N66" s="54"/>
      <c r="O66" s="41" t="e">
        <f t="shared" si="2"/>
        <v>#REF!</v>
      </c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</row>
    <row r="67" spans="2:42" ht="20.100000000000001" customHeight="1" x14ac:dyDescent="0.25">
      <c r="B67" s="54"/>
      <c r="C67" s="54"/>
      <c r="D67" s="54"/>
      <c r="E67" s="54"/>
      <c r="F67" s="54"/>
      <c r="G67" s="54"/>
      <c r="H67" s="41"/>
      <c r="I67" s="41"/>
      <c r="J67" s="41"/>
      <c r="K67" s="54"/>
      <c r="L67" s="54"/>
      <c r="M67" s="54"/>
      <c r="N67" s="54"/>
      <c r="O67" s="41" t="e">
        <f t="shared" si="2"/>
        <v>#REF!</v>
      </c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</row>
    <row r="68" spans="2:42" ht="20.100000000000001" customHeight="1" x14ac:dyDescent="0.25">
      <c r="B68" s="54"/>
      <c r="C68" s="54"/>
      <c r="D68" s="54"/>
      <c r="E68" s="54"/>
      <c r="F68" s="54"/>
      <c r="G68" s="54"/>
      <c r="H68" s="41"/>
      <c r="I68" s="41"/>
      <c r="J68" s="41"/>
      <c r="K68" s="54"/>
      <c r="L68" s="54"/>
      <c r="M68" s="54"/>
      <c r="N68" s="54"/>
      <c r="O68" s="41" t="e">
        <f t="shared" si="2"/>
        <v>#REF!</v>
      </c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</row>
    <row r="69" spans="2:42" ht="20.100000000000001" customHeight="1" x14ac:dyDescent="0.25">
      <c r="B69" s="54"/>
      <c r="C69" s="54"/>
      <c r="D69" s="54"/>
      <c r="E69" s="54"/>
      <c r="F69" s="54"/>
      <c r="G69" s="54"/>
      <c r="H69" s="41"/>
      <c r="I69" s="41"/>
      <c r="J69" s="41"/>
      <c r="K69" s="54"/>
      <c r="L69" s="54"/>
      <c r="M69" s="54"/>
      <c r="N69" s="54"/>
      <c r="O69" s="41" t="e">
        <f t="shared" si="2"/>
        <v>#REF!</v>
      </c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</row>
    <row r="70" spans="2:42" ht="20.100000000000001" customHeight="1" x14ac:dyDescent="0.25">
      <c r="B70" s="54"/>
      <c r="C70" s="54"/>
      <c r="D70" s="54"/>
      <c r="E70" s="54"/>
      <c r="F70" s="54"/>
      <c r="G70" s="54"/>
      <c r="H70" s="41"/>
      <c r="I70" s="41"/>
      <c r="J70" s="41"/>
      <c r="K70" s="54"/>
      <c r="L70" s="54"/>
      <c r="M70" s="54"/>
      <c r="N70" s="54"/>
      <c r="O70" s="41" t="e">
        <f t="shared" si="2"/>
        <v>#REF!</v>
      </c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</row>
    <row r="71" spans="2:42" ht="20.100000000000001" customHeight="1" x14ac:dyDescent="0.25">
      <c r="B71" s="54"/>
      <c r="C71" s="54"/>
      <c r="D71" s="54"/>
      <c r="E71" s="54"/>
      <c r="F71" s="54"/>
      <c r="G71" s="54"/>
      <c r="H71" s="41"/>
      <c r="I71" s="41"/>
      <c r="J71" s="41"/>
      <c r="K71" s="54"/>
      <c r="L71" s="54"/>
      <c r="M71" s="54"/>
      <c r="N71" s="54"/>
      <c r="O71" s="41" t="e">
        <f t="shared" si="2"/>
        <v>#REF!</v>
      </c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</row>
    <row r="72" spans="2:42" ht="20.100000000000001" customHeight="1" x14ac:dyDescent="0.25">
      <c r="B72" s="54"/>
      <c r="C72" s="54"/>
      <c r="D72" s="54"/>
      <c r="E72" s="54"/>
      <c r="F72" s="54"/>
      <c r="G72" s="54"/>
      <c r="H72" s="41"/>
      <c r="I72" s="41"/>
      <c r="J72" s="41"/>
      <c r="K72" s="54"/>
      <c r="L72" s="54"/>
      <c r="M72" s="54"/>
      <c r="N72" s="54"/>
      <c r="O72" s="41" t="e">
        <f t="shared" si="2"/>
        <v>#REF!</v>
      </c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</row>
    <row r="73" spans="2:42" ht="20.100000000000001" customHeight="1" x14ac:dyDescent="0.25">
      <c r="B73" s="54"/>
      <c r="C73" s="54"/>
      <c r="D73" s="54"/>
      <c r="E73" s="54"/>
      <c r="F73" s="54"/>
      <c r="G73" s="54"/>
      <c r="H73" s="41"/>
      <c r="I73" s="41"/>
      <c r="J73" s="41"/>
      <c r="K73" s="54"/>
      <c r="L73" s="54"/>
      <c r="M73" s="54"/>
      <c r="N73" s="54"/>
      <c r="O73" s="41" t="e">
        <f t="shared" si="2"/>
        <v>#REF!</v>
      </c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</row>
    <row r="74" spans="2:42" ht="20.100000000000001" customHeight="1" x14ac:dyDescent="0.25">
      <c r="B74" s="54"/>
      <c r="C74" s="54"/>
      <c r="D74" s="54"/>
      <c r="E74" s="54"/>
      <c r="F74" s="54"/>
      <c r="G74" s="54"/>
      <c r="H74" s="41"/>
      <c r="I74" s="41"/>
      <c r="J74" s="41"/>
      <c r="K74" s="54"/>
      <c r="L74" s="54"/>
      <c r="M74" s="54"/>
      <c r="N74" s="54"/>
      <c r="O74" s="41" t="e">
        <f t="shared" si="2"/>
        <v>#REF!</v>
      </c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</row>
    <row r="75" spans="2:42" ht="20.100000000000001" customHeight="1" x14ac:dyDescent="0.25">
      <c r="B75" s="54"/>
      <c r="C75" s="54"/>
      <c r="D75" s="54"/>
      <c r="E75" s="54"/>
      <c r="F75" s="54"/>
      <c r="G75" s="54"/>
      <c r="H75" s="41"/>
      <c r="I75" s="41"/>
      <c r="J75" s="41"/>
      <c r="K75" s="54"/>
      <c r="L75" s="54"/>
      <c r="M75" s="54"/>
      <c r="N75" s="54"/>
      <c r="O75" s="41" t="e">
        <f t="shared" si="2"/>
        <v>#REF!</v>
      </c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</row>
    <row r="76" spans="2:42" ht="20.100000000000001" customHeight="1" x14ac:dyDescent="0.25">
      <c r="B76" s="54"/>
      <c r="C76" s="54"/>
      <c r="D76" s="54"/>
      <c r="E76" s="54"/>
      <c r="F76" s="54"/>
      <c r="G76" s="54"/>
      <c r="H76" s="41"/>
      <c r="I76" s="41"/>
      <c r="J76" s="41"/>
      <c r="K76" s="54"/>
      <c r="L76" s="54"/>
      <c r="M76" s="54"/>
      <c r="N76" s="54"/>
      <c r="O76" s="41" t="e">
        <f t="shared" si="2"/>
        <v>#REF!</v>
      </c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</row>
    <row r="77" spans="2:42" ht="20.100000000000001" customHeight="1" x14ac:dyDescent="0.25">
      <c r="B77" s="54"/>
      <c r="C77" s="54"/>
      <c r="D77" s="54"/>
      <c r="E77" s="54"/>
      <c r="F77" s="54"/>
      <c r="G77" s="54"/>
      <c r="H77" s="41"/>
      <c r="I77" s="41"/>
      <c r="J77" s="41"/>
      <c r="K77" s="54"/>
      <c r="L77" s="54"/>
      <c r="M77" s="54"/>
      <c r="N77" s="54"/>
      <c r="O77" s="41" t="e">
        <f t="shared" si="2"/>
        <v>#REF!</v>
      </c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</row>
    <row r="78" spans="2:42" ht="20.100000000000001" customHeight="1" x14ac:dyDescent="0.25">
      <c r="B78" s="54"/>
      <c r="C78" s="54"/>
      <c r="D78" s="54"/>
      <c r="E78" s="54"/>
      <c r="F78" s="54"/>
      <c r="G78" s="54"/>
      <c r="H78" s="41"/>
      <c r="I78" s="41"/>
      <c r="J78" s="41"/>
      <c r="K78" s="54"/>
      <c r="L78" s="54"/>
      <c r="M78" s="54"/>
      <c r="N78" s="54"/>
      <c r="O78" s="41" t="e">
        <f t="shared" si="2"/>
        <v>#REF!</v>
      </c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</row>
    <row r="79" spans="2:42" ht="20.100000000000001" customHeight="1" x14ac:dyDescent="0.25">
      <c r="B79" s="54"/>
      <c r="C79" s="54"/>
      <c r="D79" s="54"/>
      <c r="E79" s="54"/>
      <c r="F79" s="54"/>
      <c r="G79" s="54"/>
      <c r="H79" s="41"/>
      <c r="I79" s="41"/>
      <c r="J79" s="41"/>
      <c r="K79" s="54"/>
      <c r="L79" s="54"/>
      <c r="M79" s="54"/>
      <c r="N79" s="54"/>
      <c r="O79" s="41" t="e">
        <f t="shared" si="2"/>
        <v>#REF!</v>
      </c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</row>
    <row r="80" spans="2:42" ht="20.100000000000001" customHeight="1" x14ac:dyDescent="0.25">
      <c r="B80" s="54"/>
      <c r="C80" s="54"/>
      <c r="D80" s="54"/>
      <c r="E80" s="54"/>
      <c r="F80" s="54"/>
      <c r="G80" s="54"/>
      <c r="H80" s="41"/>
      <c r="I80" s="41"/>
      <c r="J80" s="41"/>
      <c r="K80" s="54"/>
      <c r="L80" s="54"/>
      <c r="M80" s="54"/>
      <c r="N80" s="54"/>
      <c r="O80" s="41" t="e">
        <f t="shared" si="2"/>
        <v>#REF!</v>
      </c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</row>
    <row r="81" spans="2:42" ht="20.100000000000001" customHeight="1" x14ac:dyDescent="0.25">
      <c r="B81" s="54"/>
      <c r="C81" s="54"/>
      <c r="D81" s="54"/>
      <c r="E81" s="54"/>
      <c r="F81" s="54"/>
      <c r="G81" s="54"/>
      <c r="H81" s="41"/>
      <c r="I81" s="41"/>
      <c r="J81" s="41"/>
      <c r="K81" s="54"/>
      <c r="L81" s="54"/>
      <c r="M81" s="54"/>
      <c r="N81" s="54"/>
      <c r="O81" s="41" t="e">
        <f t="shared" si="2"/>
        <v>#REF!</v>
      </c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</row>
    <row r="82" spans="2:42" ht="20.100000000000001" customHeight="1" x14ac:dyDescent="0.25">
      <c r="B82" s="54"/>
      <c r="C82" s="54"/>
      <c r="D82" s="54"/>
      <c r="E82" s="54"/>
      <c r="F82" s="54"/>
      <c r="G82" s="54"/>
      <c r="H82" s="41"/>
      <c r="I82" s="41"/>
      <c r="J82" s="41"/>
      <c r="K82" s="54"/>
      <c r="L82" s="54"/>
      <c r="M82" s="54"/>
      <c r="N82" s="54"/>
      <c r="O82" s="41" t="e">
        <f t="shared" si="2"/>
        <v>#REF!</v>
      </c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</row>
    <row r="83" spans="2:42" ht="20.100000000000001" customHeight="1" x14ac:dyDescent="0.25">
      <c r="B83" s="54"/>
      <c r="C83" s="54"/>
      <c r="D83" s="54"/>
      <c r="E83" s="54"/>
      <c r="F83" s="54"/>
      <c r="G83" s="54"/>
      <c r="H83" s="41"/>
      <c r="I83" s="41"/>
      <c r="J83" s="41"/>
      <c r="K83" s="54"/>
      <c r="L83" s="54"/>
      <c r="M83" s="54"/>
      <c r="N83" s="54"/>
      <c r="O83" s="41" t="e">
        <f t="shared" si="2"/>
        <v>#REF!</v>
      </c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</row>
    <row r="84" spans="2:42" ht="20.100000000000001" customHeight="1" x14ac:dyDescent="0.25">
      <c r="B84" s="54"/>
      <c r="C84" s="54"/>
      <c r="D84" s="54"/>
      <c r="E84" s="54"/>
      <c r="F84" s="54"/>
      <c r="G84" s="54"/>
      <c r="H84" s="41"/>
      <c r="I84" s="41"/>
      <c r="J84" s="41"/>
      <c r="K84" s="54"/>
      <c r="L84" s="54"/>
      <c r="M84" s="54"/>
      <c r="N84" s="54"/>
      <c r="O84" s="41" t="e">
        <f t="shared" si="2"/>
        <v>#REF!</v>
      </c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</row>
    <row r="85" spans="2:42" ht="20.100000000000001" customHeight="1" x14ac:dyDescent="0.25">
      <c r="B85" s="54"/>
      <c r="C85" s="54"/>
      <c r="D85" s="54"/>
      <c r="E85" s="54"/>
      <c r="F85" s="54"/>
      <c r="G85" s="54"/>
      <c r="H85" s="41"/>
      <c r="I85" s="41"/>
      <c r="J85" s="41"/>
      <c r="K85" s="54"/>
      <c r="L85" s="54"/>
      <c r="M85" s="54"/>
      <c r="N85" s="54"/>
      <c r="O85" s="41" t="e">
        <f t="shared" si="2"/>
        <v>#REF!</v>
      </c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</row>
    <row r="86" spans="2:42" ht="20.100000000000001" customHeight="1" x14ac:dyDescent="0.25">
      <c r="B86" s="54"/>
      <c r="C86" s="54"/>
      <c r="D86" s="54"/>
      <c r="E86" s="54"/>
      <c r="F86" s="54"/>
      <c r="G86" s="54"/>
      <c r="H86" s="41"/>
      <c r="I86" s="41"/>
      <c r="J86" s="41"/>
      <c r="K86" s="54"/>
      <c r="L86" s="54"/>
      <c r="M86" s="54"/>
      <c r="N86" s="54"/>
      <c r="O86" s="41" t="e">
        <f t="shared" si="2"/>
        <v>#REF!</v>
      </c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</row>
    <row r="87" spans="2:42" ht="20.100000000000001" customHeight="1" x14ac:dyDescent="0.25">
      <c r="B87" s="54"/>
      <c r="C87" s="54"/>
      <c r="D87" s="54"/>
      <c r="E87" s="54"/>
      <c r="F87" s="54"/>
      <c r="G87" s="54"/>
      <c r="H87" s="41"/>
      <c r="I87" s="41"/>
      <c r="J87" s="41"/>
      <c r="K87" s="54"/>
      <c r="L87" s="54"/>
      <c r="M87" s="54"/>
      <c r="N87" s="54"/>
      <c r="O87" s="41" t="e">
        <f t="shared" si="2"/>
        <v>#REF!</v>
      </c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</row>
    <row r="88" spans="2:42" ht="20.100000000000001" customHeight="1" x14ac:dyDescent="0.25">
      <c r="B88" s="54"/>
      <c r="C88" s="54"/>
      <c r="D88" s="54"/>
      <c r="E88" s="54"/>
      <c r="F88" s="54"/>
      <c r="G88" s="54"/>
      <c r="H88" s="41"/>
      <c r="I88" s="41"/>
      <c r="J88" s="41"/>
      <c r="K88" s="54"/>
      <c r="L88" s="54"/>
      <c r="M88" s="54"/>
      <c r="N88" s="54"/>
      <c r="O88" s="41" t="e">
        <f t="shared" si="2"/>
        <v>#REF!</v>
      </c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</row>
    <row r="89" spans="2:42" ht="20.100000000000001" customHeight="1" x14ac:dyDescent="0.25">
      <c r="B89" s="54"/>
      <c r="C89" s="54"/>
      <c r="D89" s="54"/>
      <c r="E89" s="54"/>
      <c r="F89" s="54"/>
      <c r="G89" s="54"/>
      <c r="H89" s="41"/>
      <c r="I89" s="41"/>
      <c r="J89" s="41"/>
      <c r="K89" s="54"/>
      <c r="L89" s="54"/>
      <c r="M89" s="54"/>
      <c r="N89" s="54"/>
      <c r="O89" s="41" t="e">
        <f t="shared" si="2"/>
        <v>#REF!</v>
      </c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</row>
    <row r="90" spans="2:42" ht="20.100000000000001" customHeight="1" x14ac:dyDescent="0.25">
      <c r="B90" s="54"/>
      <c r="C90" s="54"/>
      <c r="D90" s="54"/>
      <c r="E90" s="54"/>
      <c r="F90" s="54"/>
      <c r="G90" s="54"/>
      <c r="H90" s="41"/>
      <c r="I90" s="41"/>
      <c r="J90" s="41"/>
      <c r="K90" s="54"/>
      <c r="L90" s="54"/>
      <c r="M90" s="54"/>
      <c r="N90" s="54"/>
      <c r="O90" s="41" t="e">
        <f t="shared" si="2"/>
        <v>#REF!</v>
      </c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</row>
    <row r="91" spans="2:42" ht="20.100000000000001" customHeight="1" x14ac:dyDescent="0.25">
      <c r="B91" s="54"/>
      <c r="C91" s="54"/>
      <c r="D91" s="54"/>
      <c r="E91" s="54"/>
      <c r="F91" s="54"/>
      <c r="G91" s="54"/>
      <c r="H91" s="41"/>
      <c r="I91" s="41"/>
      <c r="J91" s="41"/>
      <c r="K91" s="54"/>
      <c r="L91" s="54"/>
      <c r="M91" s="54"/>
      <c r="N91" s="54"/>
      <c r="O91" s="41" t="e">
        <f t="shared" si="2"/>
        <v>#REF!</v>
      </c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</row>
    <row r="92" spans="2:42" ht="20.100000000000001" customHeight="1" x14ac:dyDescent="0.25">
      <c r="B92" s="54"/>
      <c r="C92" s="54"/>
      <c r="D92" s="54"/>
      <c r="E92" s="54"/>
      <c r="F92" s="54"/>
      <c r="G92" s="54"/>
      <c r="H92" s="41"/>
      <c r="I92" s="41"/>
      <c r="J92" s="41"/>
      <c r="K92" s="54"/>
      <c r="L92" s="54"/>
      <c r="M92" s="54"/>
      <c r="N92" s="54"/>
      <c r="O92" s="41" t="e">
        <f t="shared" si="2"/>
        <v>#REF!</v>
      </c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</row>
    <row r="93" spans="2:42" ht="20.100000000000001" customHeight="1" x14ac:dyDescent="0.25">
      <c r="B93" s="54"/>
      <c r="C93" s="54"/>
      <c r="D93" s="54"/>
      <c r="E93" s="54"/>
      <c r="F93" s="54"/>
      <c r="G93" s="54"/>
      <c r="H93" s="41"/>
      <c r="I93" s="41"/>
      <c r="J93" s="41"/>
      <c r="K93" s="54"/>
      <c r="L93" s="54"/>
      <c r="M93" s="54"/>
      <c r="N93" s="54"/>
      <c r="O93" s="41" t="e">
        <f t="shared" si="2"/>
        <v>#REF!</v>
      </c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</row>
    <row r="94" spans="2:42" ht="20.100000000000001" customHeight="1" x14ac:dyDescent="0.25">
      <c r="B94" s="54"/>
      <c r="C94" s="54"/>
      <c r="D94" s="54"/>
      <c r="E94" s="54"/>
      <c r="F94" s="54"/>
      <c r="G94" s="54"/>
      <c r="H94" s="41"/>
      <c r="I94" s="41"/>
      <c r="J94" s="41"/>
      <c r="K94" s="54"/>
      <c r="L94" s="54"/>
      <c r="M94" s="54"/>
      <c r="N94" s="54"/>
      <c r="O94" s="41" t="e">
        <f t="shared" si="2"/>
        <v>#REF!</v>
      </c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</row>
    <row r="95" spans="2:42" ht="20.100000000000001" customHeight="1" x14ac:dyDescent="0.25">
      <c r="B95" s="54"/>
      <c r="C95" s="54"/>
      <c r="D95" s="54"/>
      <c r="E95" s="54"/>
      <c r="F95" s="54"/>
      <c r="G95" s="54"/>
      <c r="H95" s="41"/>
      <c r="I95" s="41"/>
      <c r="J95" s="41"/>
      <c r="K95" s="54"/>
      <c r="L95" s="54"/>
      <c r="M95" s="54"/>
      <c r="N95" s="54"/>
      <c r="O95" s="41" t="e">
        <f t="shared" si="2"/>
        <v>#REF!</v>
      </c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</row>
    <row r="96" spans="2:42" ht="20.100000000000001" customHeight="1" x14ac:dyDescent="0.25">
      <c r="B96" s="54"/>
      <c r="C96" s="54"/>
      <c r="D96" s="54"/>
      <c r="E96" s="54"/>
      <c r="F96" s="54"/>
      <c r="G96" s="54"/>
      <c r="H96" s="41"/>
      <c r="I96" s="41"/>
      <c r="J96" s="41"/>
      <c r="K96" s="54"/>
      <c r="L96" s="54"/>
      <c r="M96" s="54"/>
      <c r="N96" s="54"/>
      <c r="O96" s="41" t="e">
        <f t="shared" si="2"/>
        <v>#REF!</v>
      </c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</row>
    <row r="97" spans="2:42" ht="20.100000000000001" customHeight="1" x14ac:dyDescent="0.25">
      <c r="B97" s="54"/>
      <c r="C97" s="54"/>
      <c r="D97" s="54"/>
      <c r="E97" s="54"/>
      <c r="F97" s="54"/>
      <c r="G97" s="54"/>
      <c r="H97" s="41"/>
      <c r="I97" s="41"/>
      <c r="J97" s="41"/>
      <c r="K97" s="54"/>
      <c r="L97" s="54"/>
      <c r="M97" s="54"/>
      <c r="N97" s="54"/>
      <c r="O97" s="41" t="e">
        <f t="shared" si="2"/>
        <v>#REF!</v>
      </c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</row>
    <row r="98" spans="2:42" ht="20.100000000000001" customHeight="1" x14ac:dyDescent="0.25">
      <c r="B98" s="54"/>
      <c r="C98" s="54"/>
      <c r="D98" s="54"/>
      <c r="E98" s="54"/>
      <c r="F98" s="54"/>
      <c r="G98" s="54"/>
      <c r="H98" s="41"/>
      <c r="I98" s="41"/>
      <c r="J98" s="41"/>
      <c r="K98" s="54"/>
      <c r="L98" s="54"/>
      <c r="M98" s="54"/>
      <c r="N98" s="54"/>
      <c r="O98" s="41" t="e">
        <f t="shared" si="2"/>
        <v>#REF!</v>
      </c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</row>
    <row r="99" spans="2:42" ht="20.100000000000001" customHeight="1" x14ac:dyDescent="0.25">
      <c r="B99" s="54"/>
      <c r="C99" s="54"/>
      <c r="D99" s="54"/>
      <c r="E99" s="54"/>
      <c r="F99" s="54"/>
      <c r="G99" s="54"/>
      <c r="H99" s="41"/>
      <c r="I99" s="41"/>
      <c r="J99" s="41"/>
      <c r="K99" s="54"/>
      <c r="L99" s="54"/>
      <c r="M99" s="54"/>
      <c r="N99" s="54"/>
      <c r="O99" s="41" t="e">
        <f t="shared" si="2"/>
        <v>#REF!</v>
      </c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</row>
    <row r="100" spans="2:42" ht="20.100000000000001" customHeight="1" x14ac:dyDescent="0.25">
      <c r="B100" s="54"/>
      <c r="C100" s="54"/>
      <c r="D100" s="54"/>
      <c r="E100" s="54"/>
      <c r="F100" s="54"/>
      <c r="G100" s="54"/>
      <c r="H100" s="41"/>
      <c r="I100" s="41"/>
      <c r="J100" s="41"/>
      <c r="K100" s="54"/>
      <c r="L100" s="54"/>
      <c r="M100" s="54"/>
      <c r="N100" s="54"/>
      <c r="O100" s="41" t="e">
        <f t="shared" si="2"/>
        <v>#REF!</v>
      </c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</row>
    <row r="101" spans="2:42" ht="20.100000000000001" customHeight="1" x14ac:dyDescent="0.25">
      <c r="B101" s="54"/>
      <c r="C101" s="54"/>
      <c r="D101" s="54"/>
      <c r="E101" s="54"/>
      <c r="F101" s="54"/>
      <c r="G101" s="54"/>
      <c r="H101" s="41"/>
      <c r="I101" s="41"/>
      <c r="J101" s="41"/>
      <c r="K101" s="54"/>
      <c r="L101" s="54"/>
      <c r="M101" s="54"/>
      <c r="N101" s="54"/>
      <c r="O101" s="41" t="e">
        <f t="shared" si="2"/>
        <v>#REF!</v>
      </c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</row>
    <row r="102" spans="2:42" ht="20.100000000000001" customHeight="1" x14ac:dyDescent="0.25">
      <c r="B102" s="54"/>
      <c r="C102" s="54"/>
      <c r="D102" s="54"/>
      <c r="E102" s="54"/>
      <c r="F102" s="54"/>
      <c r="G102" s="54"/>
      <c r="H102" s="41"/>
      <c r="I102" s="41"/>
      <c r="J102" s="41"/>
      <c r="K102" s="54"/>
      <c r="L102" s="54"/>
      <c r="M102" s="54"/>
      <c r="N102" s="54"/>
      <c r="O102" s="41" t="e">
        <f t="shared" si="2"/>
        <v>#REF!</v>
      </c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</row>
    <row r="103" spans="2:42" ht="20.100000000000001" customHeight="1" x14ac:dyDescent="0.25">
      <c r="B103" s="54"/>
      <c r="C103" s="54"/>
      <c r="D103" s="54"/>
      <c r="E103" s="54"/>
      <c r="F103" s="54"/>
      <c r="G103" s="54"/>
      <c r="H103" s="41"/>
      <c r="I103" s="41"/>
      <c r="J103" s="41"/>
      <c r="K103" s="54"/>
      <c r="L103" s="54"/>
      <c r="M103" s="54"/>
      <c r="N103" s="54"/>
      <c r="O103" s="41" t="e">
        <f t="shared" si="2"/>
        <v>#REF!</v>
      </c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</row>
    <row r="104" spans="2:42" ht="20.100000000000001" customHeight="1" x14ac:dyDescent="0.25">
      <c r="B104" s="54"/>
      <c r="C104" s="54"/>
      <c r="D104" s="54"/>
      <c r="E104" s="54"/>
      <c r="F104" s="54"/>
      <c r="G104" s="54"/>
      <c r="H104" s="41"/>
      <c r="I104" s="41"/>
      <c r="J104" s="41"/>
      <c r="K104" s="54"/>
      <c r="L104" s="54"/>
      <c r="M104" s="54"/>
      <c r="N104" s="54"/>
      <c r="O104" s="41" t="e">
        <f t="shared" si="2"/>
        <v>#REF!</v>
      </c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</row>
    <row r="105" spans="2:42" ht="20.100000000000001" customHeight="1" x14ac:dyDescent="0.25">
      <c r="B105" s="54"/>
      <c r="C105" s="54"/>
      <c r="D105" s="54"/>
      <c r="E105" s="54"/>
      <c r="F105" s="54"/>
      <c r="G105" s="54"/>
      <c r="H105" s="41"/>
      <c r="I105" s="41"/>
      <c r="J105" s="41"/>
      <c r="K105" s="54"/>
      <c r="L105" s="54"/>
      <c r="M105" s="54"/>
      <c r="N105" s="54"/>
      <c r="O105" s="41" t="e">
        <f t="shared" si="2"/>
        <v>#REF!</v>
      </c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</row>
    <row r="106" spans="2:42" ht="20.100000000000001" customHeight="1" x14ac:dyDescent="0.25">
      <c r="B106" s="54"/>
      <c r="C106" s="54"/>
      <c r="D106" s="54"/>
      <c r="E106" s="54"/>
      <c r="F106" s="54"/>
      <c r="G106" s="54"/>
      <c r="H106" s="41"/>
      <c r="I106" s="41"/>
      <c r="J106" s="41"/>
      <c r="K106" s="54"/>
      <c r="L106" s="54"/>
      <c r="M106" s="54"/>
      <c r="N106" s="54"/>
      <c r="O106" s="41" t="e">
        <f t="shared" si="2"/>
        <v>#REF!</v>
      </c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</row>
    <row r="107" spans="2:42" ht="20.100000000000001" customHeight="1" x14ac:dyDescent="0.25">
      <c r="B107" s="54"/>
      <c r="C107" s="54"/>
      <c r="D107" s="54"/>
      <c r="E107" s="54"/>
      <c r="F107" s="54"/>
      <c r="G107" s="54"/>
      <c r="H107" s="41"/>
      <c r="I107" s="41"/>
      <c r="J107" s="41"/>
      <c r="K107" s="54"/>
      <c r="L107" s="54"/>
      <c r="M107" s="54"/>
      <c r="N107" s="54"/>
      <c r="O107" s="41" t="e">
        <f t="shared" si="2"/>
        <v>#REF!</v>
      </c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</row>
    <row r="108" spans="2:42" ht="20.100000000000001" customHeight="1" x14ac:dyDescent="0.25">
      <c r="B108" s="54"/>
      <c r="C108" s="54"/>
      <c r="D108" s="54"/>
      <c r="E108" s="54"/>
      <c r="F108" s="54"/>
      <c r="G108" s="54"/>
      <c r="H108" s="41"/>
      <c r="I108" s="41"/>
      <c r="J108" s="41"/>
      <c r="K108" s="54"/>
      <c r="L108" s="54"/>
      <c r="M108" s="54"/>
      <c r="N108" s="54"/>
      <c r="O108" s="41" t="e">
        <f t="shared" si="2"/>
        <v>#REF!</v>
      </c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</row>
    <row r="109" spans="2:42" ht="20.100000000000001" customHeight="1" x14ac:dyDescent="0.25">
      <c r="B109" s="54"/>
      <c r="C109" s="54"/>
      <c r="D109" s="54"/>
      <c r="E109" s="54"/>
      <c r="F109" s="54"/>
      <c r="G109" s="54"/>
      <c r="H109" s="41"/>
      <c r="I109" s="41"/>
      <c r="J109" s="41"/>
      <c r="K109" s="54"/>
      <c r="L109" s="54"/>
      <c r="M109" s="54"/>
      <c r="N109" s="54"/>
      <c r="O109" s="41" t="e">
        <f t="shared" si="2"/>
        <v>#REF!</v>
      </c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</row>
    <row r="110" spans="2:42" ht="20.100000000000001" customHeight="1" x14ac:dyDescent="0.25">
      <c r="B110" s="54"/>
      <c r="C110" s="54"/>
      <c r="D110" s="54"/>
      <c r="E110" s="54"/>
      <c r="F110" s="54"/>
      <c r="G110" s="54"/>
      <c r="H110" s="41"/>
      <c r="I110" s="41"/>
      <c r="J110" s="41"/>
      <c r="K110" s="54"/>
      <c r="L110" s="54"/>
      <c r="M110" s="54"/>
      <c r="N110" s="54"/>
      <c r="O110" s="41" t="e">
        <f t="shared" si="2"/>
        <v>#REF!</v>
      </c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</row>
    <row r="111" spans="2:42" ht="20.100000000000001" customHeight="1" x14ac:dyDescent="0.25">
      <c r="B111" s="54"/>
      <c r="C111" s="54"/>
      <c r="D111" s="54"/>
      <c r="E111" s="54"/>
      <c r="F111" s="54"/>
      <c r="G111" s="54"/>
      <c r="H111" s="41"/>
      <c r="I111" s="41"/>
      <c r="J111" s="41"/>
      <c r="K111" s="54"/>
      <c r="L111" s="54"/>
      <c r="M111" s="54"/>
      <c r="N111" s="54"/>
      <c r="O111" s="41" t="e">
        <f>AVERAGE(O63:O110)</f>
        <v>#REF!</v>
      </c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</row>
  </sheetData>
  <autoFilter ref="B1:AQ1" xr:uid="{6CCB937A-CA76-46AC-8D6E-88E48CC9D050}">
    <sortState ref="B2:AQ111">
      <sortCondition ref="AQ1"/>
    </sortState>
  </autoFilter>
  <conditionalFormatting sqref="AQ1:AQ1048576">
    <cfRule type="cellIs" dxfId="0" priority="1" operator="equal">
      <formula>"OK"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E733-2BC9-4916-B73B-AFF2189BA39B}">
  <dimension ref="A1:Y79"/>
  <sheetViews>
    <sheetView workbookViewId="0">
      <selection activeCell="G34" sqref="G34"/>
    </sheetView>
  </sheetViews>
  <sheetFormatPr baseColWidth="10" defaultRowHeight="15" x14ac:dyDescent="0.25"/>
  <cols>
    <col min="24" max="24" width="20.140625" customWidth="1"/>
    <col min="25" max="25" width="21" customWidth="1"/>
  </cols>
  <sheetData>
    <row r="1" spans="1:8" x14ac:dyDescent="0.25">
      <c r="A1" s="7" t="s">
        <v>513</v>
      </c>
      <c r="B1" s="7" t="s">
        <v>514</v>
      </c>
      <c r="E1" t="s">
        <v>532</v>
      </c>
    </row>
    <row r="2" spans="1:8" x14ac:dyDescent="0.25">
      <c r="A2" s="5" t="s">
        <v>39</v>
      </c>
      <c r="B2" s="6" t="s">
        <v>39</v>
      </c>
      <c r="E2" s="5" t="s">
        <v>39</v>
      </c>
      <c r="F2" s="5" t="s">
        <v>511</v>
      </c>
      <c r="G2" s="5" t="s">
        <v>76</v>
      </c>
      <c r="H2" s="5" t="s">
        <v>4</v>
      </c>
    </row>
    <row r="3" spans="1:8" x14ac:dyDescent="0.25">
      <c r="A3" s="5">
        <v>65</v>
      </c>
      <c r="B3" s="6">
        <v>65</v>
      </c>
      <c r="E3">
        <v>61</v>
      </c>
      <c r="F3">
        <v>9</v>
      </c>
      <c r="G3">
        <v>25</v>
      </c>
      <c r="H3">
        <v>14</v>
      </c>
    </row>
    <row r="4" spans="1:8" x14ac:dyDescent="0.25">
      <c r="A4" s="5" t="s">
        <v>512</v>
      </c>
      <c r="B4" s="6"/>
    </row>
    <row r="5" spans="1:8" x14ac:dyDescent="0.25">
      <c r="A5" s="5">
        <v>1</v>
      </c>
      <c r="B5" s="6"/>
    </row>
    <row r="6" spans="1:8" x14ac:dyDescent="0.25">
      <c r="A6" s="5" t="s">
        <v>511</v>
      </c>
      <c r="B6" s="6" t="s">
        <v>511</v>
      </c>
    </row>
    <row r="7" spans="1:8" x14ac:dyDescent="0.25">
      <c r="A7" s="5">
        <v>4</v>
      </c>
      <c r="B7" s="6">
        <v>9</v>
      </c>
    </row>
    <row r="8" spans="1:8" x14ac:dyDescent="0.25">
      <c r="A8" s="5" t="s">
        <v>583</v>
      </c>
      <c r="B8" s="6"/>
    </row>
    <row r="9" spans="1:8" x14ac:dyDescent="0.25">
      <c r="A9" s="5">
        <v>1</v>
      </c>
      <c r="B9" s="6">
        <v>1</v>
      </c>
    </row>
    <row r="10" spans="1:8" x14ac:dyDescent="0.25">
      <c r="A10" s="5" t="s">
        <v>76</v>
      </c>
      <c r="B10" s="6" t="s">
        <v>76</v>
      </c>
    </row>
    <row r="11" spans="1:8" x14ac:dyDescent="0.25">
      <c r="A11" s="5">
        <v>24</v>
      </c>
      <c r="B11" s="6">
        <v>25</v>
      </c>
    </row>
    <row r="12" spans="1:8" x14ac:dyDescent="0.25">
      <c r="A12" s="5" t="s">
        <v>4</v>
      </c>
      <c r="B12" s="6" t="s">
        <v>4</v>
      </c>
    </row>
    <row r="13" spans="1:8" x14ac:dyDescent="0.25">
      <c r="A13" s="5">
        <v>18</v>
      </c>
      <c r="B13" s="6">
        <v>14</v>
      </c>
    </row>
    <row r="15" spans="1:8" ht="15.75" thickBot="1" x14ac:dyDescent="0.3"/>
    <row r="16" spans="1:8" x14ac:dyDescent="0.25">
      <c r="A16" s="71" t="s">
        <v>515</v>
      </c>
      <c r="B16" s="72" t="s">
        <v>519</v>
      </c>
      <c r="C16" s="65" t="s">
        <v>520</v>
      </c>
    </row>
    <row r="17" spans="1:3" x14ac:dyDescent="0.25">
      <c r="A17" s="67"/>
      <c r="B17" s="68"/>
      <c r="C17" s="68"/>
    </row>
    <row r="18" spans="1:3" x14ac:dyDescent="0.25">
      <c r="A18" s="67" t="s">
        <v>272</v>
      </c>
      <c r="B18" s="68">
        <f>4*100/113</f>
        <v>3.5398230088495577</v>
      </c>
      <c r="C18" s="68">
        <f>100-C19-C20</f>
        <v>75.5</v>
      </c>
    </row>
    <row r="19" spans="1:3" x14ac:dyDescent="0.25">
      <c r="A19" s="67" t="s">
        <v>43</v>
      </c>
      <c r="B19" s="68">
        <f>43*100/113</f>
        <v>38.053097345132741</v>
      </c>
      <c r="C19" s="5">
        <v>19.100000000000001</v>
      </c>
    </row>
    <row r="20" spans="1:3" x14ac:dyDescent="0.25">
      <c r="A20" s="67" t="s">
        <v>267</v>
      </c>
      <c r="B20" s="68">
        <f>27*100/113</f>
        <v>23.893805309734514</v>
      </c>
      <c r="C20" s="5">
        <v>5.4</v>
      </c>
    </row>
    <row r="21" spans="1:3" x14ac:dyDescent="0.25">
      <c r="A21" s="67"/>
      <c r="B21" s="68"/>
      <c r="C21" s="68"/>
    </row>
    <row r="22" spans="1:3" x14ac:dyDescent="0.25">
      <c r="A22" s="67" t="s">
        <v>516</v>
      </c>
      <c r="B22" s="68">
        <v>35.35</v>
      </c>
      <c r="C22" s="68"/>
    </row>
    <row r="23" spans="1:3" ht="15.75" thickBot="1" x14ac:dyDescent="0.3">
      <c r="B23" s="70" t="s">
        <v>518</v>
      </c>
      <c r="C23" s="70"/>
    </row>
    <row r="25" spans="1:3" x14ac:dyDescent="0.25">
      <c r="B25" s="7" t="s">
        <v>11</v>
      </c>
    </row>
    <row r="26" spans="1:3" x14ac:dyDescent="0.25">
      <c r="B26" s="7" t="s">
        <v>519</v>
      </c>
      <c r="C26" s="7" t="s">
        <v>521</v>
      </c>
    </row>
    <row r="27" spans="1:3" x14ac:dyDescent="0.25">
      <c r="A27" s="73">
        <v>0</v>
      </c>
      <c r="B27" s="5">
        <f>28*100/113</f>
        <v>24.778761061946902</v>
      </c>
      <c r="C27" s="5">
        <v>41.3</v>
      </c>
    </row>
    <row r="28" spans="1:3" x14ac:dyDescent="0.25">
      <c r="A28" s="73">
        <v>1</v>
      </c>
      <c r="B28" s="5">
        <f>30/109*113</f>
        <v>31.100917431192663</v>
      </c>
      <c r="C28" s="5">
        <v>35.1</v>
      </c>
    </row>
    <row r="29" spans="1:3" x14ac:dyDescent="0.25">
      <c r="A29" s="73" t="s">
        <v>522</v>
      </c>
      <c r="B29" s="5">
        <f>55/109*113</f>
        <v>57.018348623853207</v>
      </c>
      <c r="C29">
        <f>100-C28-C27</f>
        <v>23.600000000000009</v>
      </c>
    </row>
    <row r="30" spans="1:3" x14ac:dyDescent="0.25">
      <c r="A30" s="5"/>
      <c r="B30" s="5"/>
      <c r="C30" s="5"/>
    </row>
    <row r="31" spans="1:3" x14ac:dyDescent="0.25">
      <c r="A31" s="5" t="s">
        <v>584</v>
      </c>
      <c r="B31" s="5">
        <v>1.8</v>
      </c>
      <c r="C31" s="5"/>
    </row>
    <row r="32" spans="1:3" ht="15.75" thickBot="1" x14ac:dyDescent="0.3">
      <c r="A32" s="69" t="s">
        <v>517</v>
      </c>
      <c r="B32" t="s">
        <v>523</v>
      </c>
    </row>
    <row r="33" spans="1:7" x14ac:dyDescent="0.25">
      <c r="E33" s="7" t="s">
        <v>12</v>
      </c>
      <c r="F33" s="7" t="s">
        <v>728</v>
      </c>
      <c r="G33" s="7" t="s">
        <v>729</v>
      </c>
    </row>
    <row r="34" spans="1:7" x14ac:dyDescent="0.25">
      <c r="E34" s="26" t="s">
        <v>530</v>
      </c>
      <c r="F34" s="26">
        <f>1*100/113</f>
        <v>0.88495575221238942</v>
      </c>
      <c r="G34" s="26"/>
    </row>
    <row r="35" spans="1:7" x14ac:dyDescent="0.25">
      <c r="A35" s="7" t="s">
        <v>12</v>
      </c>
      <c r="B35" s="7" t="s">
        <v>519</v>
      </c>
      <c r="C35" s="7" t="s">
        <v>521</v>
      </c>
      <c r="E35" s="73" t="s">
        <v>529</v>
      </c>
      <c r="F35" s="5">
        <f>11*100/113</f>
        <v>9.7345132743362832</v>
      </c>
      <c r="G35" s="5"/>
    </row>
    <row r="36" spans="1:7" x14ac:dyDescent="0.25">
      <c r="A36" s="26" t="s">
        <v>530</v>
      </c>
      <c r="B36" s="26">
        <f>1*100/113</f>
        <v>0.88495575221238942</v>
      </c>
      <c r="C36" s="26"/>
      <c r="E36" s="73" t="s">
        <v>524</v>
      </c>
      <c r="F36" s="5">
        <f>31/113*100</f>
        <v>27.43362831858407</v>
      </c>
      <c r="G36" s="5">
        <v>23</v>
      </c>
    </row>
    <row r="37" spans="1:7" x14ac:dyDescent="0.25">
      <c r="A37" s="73" t="s">
        <v>529</v>
      </c>
      <c r="B37" s="5">
        <f>11*100/113</f>
        <v>9.7345132743362832</v>
      </c>
      <c r="C37" s="5"/>
      <c r="E37" t="s">
        <v>585</v>
      </c>
      <c r="F37" s="5">
        <f>50*100/113</f>
        <v>44.247787610619469</v>
      </c>
      <c r="G37" s="5">
        <v>14</v>
      </c>
    </row>
    <row r="38" spans="1:7" x14ac:dyDescent="0.25">
      <c r="A38" s="73" t="s">
        <v>524</v>
      </c>
      <c r="B38" s="5">
        <f>31/109*113</f>
        <v>32.137614678899084</v>
      </c>
      <c r="C38" s="5">
        <v>23</v>
      </c>
      <c r="E38" s="5" t="s">
        <v>267</v>
      </c>
      <c r="F38" s="5">
        <f>17*100/113</f>
        <v>15.044247787610619</v>
      </c>
    </row>
    <row r="39" spans="1:7" x14ac:dyDescent="0.25">
      <c r="A39" s="73" t="s">
        <v>525</v>
      </c>
      <c r="B39" s="5">
        <f>67/109*113</f>
        <v>69.458715596330279</v>
      </c>
      <c r="C39" s="5">
        <v>14</v>
      </c>
      <c r="E39" s="74" t="s">
        <v>208</v>
      </c>
      <c r="F39">
        <f>3*100/113</f>
        <v>2.6548672566371683</v>
      </c>
    </row>
    <row r="40" spans="1:7" x14ac:dyDescent="0.25">
      <c r="A40" s="75" t="s">
        <v>208</v>
      </c>
      <c r="B40">
        <f>3/109*100</f>
        <v>2.7522935779816518</v>
      </c>
    </row>
    <row r="42" spans="1:7" x14ac:dyDescent="0.25">
      <c r="A42" s="5" t="s">
        <v>526</v>
      </c>
      <c r="B42" s="5">
        <v>32.299999999999997</v>
      </c>
      <c r="C42" s="5"/>
    </row>
    <row r="43" spans="1:7" ht="15.75" thickBot="1" x14ac:dyDescent="0.3">
      <c r="A43" s="69" t="s">
        <v>517</v>
      </c>
      <c r="B43" t="s">
        <v>527</v>
      </c>
    </row>
    <row r="44" spans="1:7" x14ac:dyDescent="0.25">
      <c r="A44" s="74" t="s">
        <v>528</v>
      </c>
    </row>
    <row r="48" spans="1:7" ht="15.75" thickBot="1" x14ac:dyDescent="0.3">
      <c r="A48" s="76"/>
      <c r="B48" s="76" t="s">
        <v>519</v>
      </c>
      <c r="C48" s="76" t="s">
        <v>521</v>
      </c>
    </row>
    <row r="49" spans="1:25" x14ac:dyDescent="0.25">
      <c r="A49" s="5" t="s">
        <v>135</v>
      </c>
      <c r="B49" s="5">
        <f>10*100/113</f>
        <v>8.8495575221238933</v>
      </c>
      <c r="C49" s="5">
        <v>6.7</v>
      </c>
      <c r="X49" s="139" t="s">
        <v>726</v>
      </c>
      <c r="Y49" s="140" t="s">
        <v>727</v>
      </c>
    </row>
    <row r="50" spans="1:25" x14ac:dyDescent="0.25">
      <c r="A50" s="5" t="s">
        <v>30</v>
      </c>
      <c r="B50" s="5">
        <f>103/113*100</f>
        <v>91.150442477876098</v>
      </c>
      <c r="C50" s="5"/>
      <c r="W50" s="2" t="s">
        <v>515</v>
      </c>
      <c r="X50" s="5"/>
      <c r="Y50" s="5"/>
    </row>
    <row r="51" spans="1:25" x14ac:dyDescent="0.25">
      <c r="W51" s="73" t="s">
        <v>272</v>
      </c>
      <c r="X51" s="80">
        <f>4*100/113</f>
        <v>3.5398230088495577</v>
      </c>
      <c r="Y51" s="5">
        <f>100-Y52-Y53</f>
        <v>75.5</v>
      </c>
    </row>
    <row r="52" spans="1:25" x14ac:dyDescent="0.25">
      <c r="A52" s="5"/>
      <c r="B52" s="5" t="s">
        <v>519</v>
      </c>
      <c r="C52" s="5" t="s">
        <v>521</v>
      </c>
      <c r="W52" s="73" t="s">
        <v>43</v>
      </c>
      <c r="X52" s="80">
        <f>43*100/113</f>
        <v>38.053097345132741</v>
      </c>
      <c r="Y52" s="5">
        <v>19.100000000000001</v>
      </c>
    </row>
    <row r="53" spans="1:25" x14ac:dyDescent="0.25">
      <c r="A53" s="5" t="s">
        <v>35</v>
      </c>
      <c r="B53" s="5">
        <f>5*100/113</f>
        <v>4.4247787610619467</v>
      </c>
      <c r="C53" s="5">
        <v>1.7</v>
      </c>
      <c r="W53" s="73" t="s">
        <v>267</v>
      </c>
      <c r="X53" s="80">
        <f>27*100/113</f>
        <v>23.893805309734514</v>
      </c>
      <c r="Y53" s="5">
        <v>5.4</v>
      </c>
    </row>
    <row r="54" spans="1:25" x14ac:dyDescent="0.25">
      <c r="A54" s="5" t="s">
        <v>531</v>
      </c>
      <c r="B54" s="5">
        <f>100-B53</f>
        <v>95.575221238938056</v>
      </c>
      <c r="C54" s="5"/>
      <c r="W54" s="2" t="s">
        <v>11</v>
      </c>
      <c r="X54" s="80"/>
      <c r="Y54" s="5"/>
    </row>
    <row r="55" spans="1:25" x14ac:dyDescent="0.25">
      <c r="W55" s="73">
        <v>0</v>
      </c>
      <c r="X55" s="80">
        <f>28*100/113</f>
        <v>24.778761061946902</v>
      </c>
      <c r="Y55" s="5">
        <v>41.3</v>
      </c>
    </row>
    <row r="56" spans="1:25" x14ac:dyDescent="0.25">
      <c r="W56" s="73">
        <v>1</v>
      </c>
      <c r="X56" s="80">
        <f>30/109*113</f>
        <v>31.100917431192663</v>
      </c>
      <c r="Y56" s="5">
        <v>35.1</v>
      </c>
    </row>
    <row r="57" spans="1:25" x14ac:dyDescent="0.25">
      <c r="W57" s="73" t="s">
        <v>522</v>
      </c>
      <c r="X57" s="80">
        <f>55/109*113</f>
        <v>57.018348623853207</v>
      </c>
      <c r="Y57" s="5">
        <f>100-Y56-Y55</f>
        <v>23.600000000000009</v>
      </c>
    </row>
    <row r="58" spans="1:25" x14ac:dyDescent="0.25">
      <c r="W58" s="138" t="s">
        <v>12</v>
      </c>
      <c r="X58" s="80"/>
      <c r="Y58" s="5"/>
    </row>
    <row r="59" spans="1:25" x14ac:dyDescent="0.25">
      <c r="A59" s="78" t="s">
        <v>535</v>
      </c>
      <c r="W59" s="73" t="s">
        <v>524</v>
      </c>
      <c r="X59" s="80">
        <f>31/109*113</f>
        <v>32.137614678899084</v>
      </c>
      <c r="Y59" s="5">
        <v>23</v>
      </c>
    </row>
    <row r="60" spans="1:25" x14ac:dyDescent="0.25">
      <c r="A60" t="s">
        <v>78</v>
      </c>
      <c r="B60">
        <f>46*100/109</f>
        <v>42.201834862385319</v>
      </c>
      <c r="W60" s="73" t="s">
        <v>525</v>
      </c>
      <c r="X60" s="80">
        <f>67/109*113</f>
        <v>69.458715596330279</v>
      </c>
      <c r="Y60" s="5">
        <v>14</v>
      </c>
    </row>
    <row r="61" spans="1:25" x14ac:dyDescent="0.25">
      <c r="A61" t="s">
        <v>154</v>
      </c>
      <c r="B61">
        <f>17*100/113</f>
        <v>15.044247787610619</v>
      </c>
      <c r="W61" s="5"/>
      <c r="X61" s="5"/>
      <c r="Y61" s="5"/>
    </row>
    <row r="62" spans="1:25" x14ac:dyDescent="0.25">
      <c r="A62" t="s">
        <v>92</v>
      </c>
      <c r="B62">
        <f>35/113*100</f>
        <v>30.973451327433626</v>
      </c>
      <c r="W62" s="2" t="s">
        <v>135</v>
      </c>
      <c r="X62" s="80">
        <f>10*100/113</f>
        <v>8.8495575221238933</v>
      </c>
      <c r="Y62" s="5">
        <v>6.7</v>
      </c>
    </row>
    <row r="63" spans="1:25" x14ac:dyDescent="0.25">
      <c r="A63" t="s">
        <v>181</v>
      </c>
      <c r="B63">
        <f>15*100/113</f>
        <v>13.274336283185841</v>
      </c>
      <c r="W63" s="2" t="s">
        <v>35</v>
      </c>
      <c r="X63" s="80">
        <f>5*100/113</f>
        <v>4.4247787610619467</v>
      </c>
      <c r="Y63" s="5">
        <v>1.7</v>
      </c>
    </row>
    <row r="66" spans="1:3" x14ac:dyDescent="0.25">
      <c r="A66" s="78" t="s">
        <v>15</v>
      </c>
    </row>
    <row r="67" spans="1:3" x14ac:dyDescent="0.25">
      <c r="A67" t="s">
        <v>385</v>
      </c>
      <c r="B67">
        <v>1</v>
      </c>
      <c r="C67">
        <f>B67*100/113</f>
        <v>0.88495575221238942</v>
      </c>
    </row>
    <row r="68" spans="1:3" x14ac:dyDescent="0.25">
      <c r="A68" t="s">
        <v>480</v>
      </c>
      <c r="B68">
        <v>2</v>
      </c>
      <c r="C68">
        <f t="shared" ref="C68:C79" si="0">B68*100/113</f>
        <v>1.7699115044247788</v>
      </c>
    </row>
    <row r="69" spans="1:3" x14ac:dyDescent="0.25">
      <c r="A69" t="s">
        <v>84</v>
      </c>
      <c r="B69">
        <v>13</v>
      </c>
      <c r="C69">
        <f t="shared" si="0"/>
        <v>11.504424778761061</v>
      </c>
    </row>
    <row r="70" spans="1:3" x14ac:dyDescent="0.25">
      <c r="A70" t="s">
        <v>397</v>
      </c>
      <c r="B70">
        <v>2</v>
      </c>
      <c r="C70">
        <f t="shared" si="0"/>
        <v>1.7699115044247788</v>
      </c>
    </row>
    <row r="71" spans="1:3" x14ac:dyDescent="0.25">
      <c r="A71" t="s">
        <v>586</v>
      </c>
      <c r="B71">
        <v>2</v>
      </c>
      <c r="C71">
        <f t="shared" si="0"/>
        <v>1.7699115044247788</v>
      </c>
    </row>
    <row r="73" spans="1:3" x14ac:dyDescent="0.25">
      <c r="A73" s="78" t="s">
        <v>548</v>
      </c>
    </row>
    <row r="74" spans="1:3" x14ac:dyDescent="0.25">
      <c r="A74" t="s">
        <v>4</v>
      </c>
      <c r="B74">
        <v>28</v>
      </c>
      <c r="C74">
        <f t="shared" si="0"/>
        <v>24.778761061946902</v>
      </c>
    </row>
    <row r="75" spans="1:3" x14ac:dyDescent="0.25">
      <c r="A75" t="s">
        <v>76</v>
      </c>
      <c r="B75">
        <v>6</v>
      </c>
      <c r="C75">
        <f t="shared" si="0"/>
        <v>5.3097345132743365</v>
      </c>
    </row>
    <row r="76" spans="1:3" x14ac:dyDescent="0.25">
      <c r="A76" t="s">
        <v>182</v>
      </c>
      <c r="B76">
        <v>10</v>
      </c>
      <c r="C76">
        <f t="shared" si="0"/>
        <v>8.8495575221238933</v>
      </c>
    </row>
    <row r="77" spans="1:3" x14ac:dyDescent="0.25">
      <c r="A77" t="s">
        <v>84</v>
      </c>
      <c r="B77">
        <v>7</v>
      </c>
      <c r="C77">
        <f t="shared" si="0"/>
        <v>6.1946902654867255</v>
      </c>
    </row>
    <row r="78" spans="1:3" x14ac:dyDescent="0.25">
      <c r="A78" t="s">
        <v>509</v>
      </c>
      <c r="B78">
        <v>5</v>
      </c>
      <c r="C78">
        <f t="shared" si="0"/>
        <v>4.4247787610619467</v>
      </c>
    </row>
    <row r="79" spans="1:3" x14ac:dyDescent="0.25">
      <c r="A79" t="s">
        <v>545</v>
      </c>
      <c r="B79">
        <v>3</v>
      </c>
      <c r="C79">
        <f t="shared" si="0"/>
        <v>2.6548672566371683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07EF5-885F-44F7-A51F-63E277A820A1}">
  <dimension ref="A1:BM60"/>
  <sheetViews>
    <sheetView topLeftCell="AM4" workbookViewId="0">
      <selection activeCell="BL17" sqref="BL17"/>
    </sheetView>
  </sheetViews>
  <sheetFormatPr baseColWidth="10" defaultRowHeight="15" x14ac:dyDescent="0.25"/>
  <cols>
    <col min="28" max="28" width="11.42578125" style="130"/>
    <col min="35" max="35" width="14.7109375" customWidth="1"/>
    <col min="39" max="39" width="11.42578125" style="130"/>
    <col min="48" max="48" width="26.5703125" customWidth="1"/>
  </cols>
  <sheetData>
    <row r="1" spans="1:65" ht="90.75" thickBot="1" x14ac:dyDescent="0.3">
      <c r="A1" s="28" t="s">
        <v>0</v>
      </c>
      <c r="B1" s="18" t="s">
        <v>1</v>
      </c>
      <c r="C1" s="18" t="s">
        <v>36</v>
      </c>
      <c r="D1" s="18" t="s">
        <v>40</v>
      </c>
      <c r="E1" s="18" t="s">
        <v>2</v>
      </c>
      <c r="F1" s="18" t="s">
        <v>37</v>
      </c>
      <c r="G1" s="19" t="s">
        <v>29</v>
      </c>
      <c r="H1" s="19" t="s">
        <v>126</v>
      </c>
      <c r="I1" s="19" t="s">
        <v>11</v>
      </c>
      <c r="J1" s="19" t="s">
        <v>12</v>
      </c>
      <c r="K1" s="19" t="s">
        <v>13</v>
      </c>
      <c r="L1" s="19" t="s">
        <v>35</v>
      </c>
      <c r="M1" s="19" t="s">
        <v>534</v>
      </c>
      <c r="N1" s="19" t="s">
        <v>535</v>
      </c>
      <c r="O1" s="19" t="s">
        <v>15</v>
      </c>
      <c r="P1" s="20" t="s">
        <v>38</v>
      </c>
      <c r="Q1" s="20" t="s">
        <v>16</v>
      </c>
      <c r="R1" s="20" t="s">
        <v>17</v>
      </c>
      <c r="S1" s="20" t="s">
        <v>18</v>
      </c>
      <c r="T1" s="21" t="s">
        <v>25</v>
      </c>
      <c r="U1" s="22" t="s">
        <v>33</v>
      </c>
      <c r="V1" s="22" t="s">
        <v>75</v>
      </c>
      <c r="W1" s="21" t="s">
        <v>26</v>
      </c>
      <c r="X1" s="21" t="s">
        <v>27</v>
      </c>
      <c r="Y1" s="21" t="s">
        <v>28</v>
      </c>
      <c r="Z1" s="21" t="s">
        <v>34</v>
      </c>
      <c r="AA1" s="23" t="s">
        <v>32</v>
      </c>
      <c r="AB1" s="23" t="s">
        <v>19</v>
      </c>
      <c r="AC1" s="23" t="s">
        <v>20</v>
      </c>
      <c r="AD1" s="23" t="s">
        <v>21</v>
      </c>
      <c r="AE1" s="23" t="s">
        <v>22</v>
      </c>
      <c r="AF1" s="38" t="s">
        <v>255</v>
      </c>
      <c r="AG1" s="38" t="s">
        <v>256</v>
      </c>
      <c r="AH1" s="23" t="s">
        <v>41</v>
      </c>
      <c r="AI1" s="23" t="s">
        <v>26</v>
      </c>
      <c r="AJ1" s="23" t="s">
        <v>31</v>
      </c>
      <c r="AK1" s="23" t="s">
        <v>91</v>
      </c>
      <c r="AL1" s="39" t="s">
        <v>254</v>
      </c>
      <c r="AM1" s="39" t="s">
        <v>265</v>
      </c>
      <c r="AN1" s="79" t="s">
        <v>549</v>
      </c>
      <c r="AO1" s="51" t="s">
        <v>648</v>
      </c>
      <c r="AQ1" s="122" t="s">
        <v>588</v>
      </c>
      <c r="AR1" s="114"/>
      <c r="AS1" s="114" t="s">
        <v>589</v>
      </c>
      <c r="AT1" s="115"/>
      <c r="AV1" s="42" t="s">
        <v>672</v>
      </c>
      <c r="AZ1" s="120" t="s">
        <v>1</v>
      </c>
      <c r="BA1" s="123" t="s">
        <v>693</v>
      </c>
      <c r="BB1" s="116"/>
      <c r="BC1" s="108"/>
      <c r="BF1" s="146" t="s">
        <v>734</v>
      </c>
      <c r="BG1" s="149" t="s">
        <v>39</v>
      </c>
      <c r="BH1" s="149" t="s">
        <v>76</v>
      </c>
      <c r="BI1" s="149" t="s">
        <v>4</v>
      </c>
      <c r="BJ1" s="150" t="s">
        <v>735</v>
      </c>
    </row>
    <row r="2" spans="1:65" ht="30.75" thickBot="1" x14ac:dyDescent="0.3">
      <c r="A2" s="60">
        <v>525713</v>
      </c>
      <c r="B2" s="58" t="s">
        <v>23</v>
      </c>
      <c r="C2" s="6" t="s">
        <v>39</v>
      </c>
      <c r="D2" s="14">
        <v>45403</v>
      </c>
      <c r="E2" s="14">
        <v>45594</v>
      </c>
      <c r="F2" s="6" t="s">
        <v>78</v>
      </c>
      <c r="G2" s="14">
        <v>31503</v>
      </c>
      <c r="H2" s="44">
        <f t="shared" ref="H2:H17" si="0">DATEDIF(G2,D2,"Y")</f>
        <v>38</v>
      </c>
      <c r="I2" s="6">
        <v>3</v>
      </c>
      <c r="J2" s="161" t="s">
        <v>208</v>
      </c>
      <c r="K2" s="6" t="s">
        <v>30</v>
      </c>
      <c r="L2" s="6" t="s">
        <v>78</v>
      </c>
      <c r="M2" s="27" t="s">
        <v>547</v>
      </c>
      <c r="N2" s="6" t="s">
        <v>154</v>
      </c>
      <c r="O2" s="6"/>
      <c r="P2" s="83">
        <f>29+2/7</f>
        <v>29.285714285714285</v>
      </c>
      <c r="Q2" s="6">
        <v>2</v>
      </c>
      <c r="R2" s="6">
        <v>0</v>
      </c>
      <c r="S2" s="6">
        <v>1</v>
      </c>
      <c r="T2" s="6" t="s">
        <v>80</v>
      </c>
      <c r="U2" s="6" t="s">
        <v>95</v>
      </c>
      <c r="V2" s="6" t="s">
        <v>77</v>
      </c>
      <c r="W2" s="27" t="s">
        <v>558</v>
      </c>
      <c r="X2" s="6" t="s">
        <v>431</v>
      </c>
      <c r="Y2" s="6" t="s">
        <v>373</v>
      </c>
      <c r="Z2" s="6" t="s">
        <v>39</v>
      </c>
      <c r="AA2" s="14">
        <v>45597</v>
      </c>
      <c r="AB2" s="83">
        <f>29+5/7</f>
        <v>29.714285714285715</v>
      </c>
      <c r="AC2" s="6" t="s">
        <v>4</v>
      </c>
      <c r="AD2" s="27" t="s">
        <v>571</v>
      </c>
      <c r="AE2" s="44">
        <f t="shared" ref="AE2:AE33" si="1">DATEDIF(E2,AA2,"D")</f>
        <v>3</v>
      </c>
      <c r="AF2" s="6">
        <v>1</v>
      </c>
      <c r="AG2" s="6" t="s">
        <v>127</v>
      </c>
      <c r="AH2" s="6" t="s">
        <v>80</v>
      </c>
      <c r="AI2" s="27" t="s">
        <v>558</v>
      </c>
      <c r="AJ2" s="6" t="s">
        <v>432</v>
      </c>
      <c r="AK2" s="27" t="s">
        <v>434</v>
      </c>
      <c r="AL2" s="6" t="s">
        <v>4</v>
      </c>
      <c r="AM2" s="83">
        <f>30+2/7</f>
        <v>30.285714285714285</v>
      </c>
      <c r="AN2" s="27" t="s">
        <v>507</v>
      </c>
      <c r="AO2" s="159">
        <v>5</v>
      </c>
      <c r="AQ2" s="107" t="s">
        <v>680</v>
      </c>
      <c r="AR2" s="116" t="s">
        <v>590</v>
      </c>
      <c r="AS2" s="116" t="s">
        <v>591</v>
      </c>
      <c r="AT2" s="108" t="s">
        <v>681</v>
      </c>
      <c r="AU2" s="54"/>
      <c r="AZ2" s="109" t="s">
        <v>673</v>
      </c>
      <c r="BA2" s="54"/>
      <c r="BB2" s="54"/>
      <c r="BC2" s="110"/>
      <c r="BF2" s="147" t="s">
        <v>731</v>
      </c>
      <c r="BG2" s="5">
        <v>8</v>
      </c>
      <c r="BH2" s="5">
        <v>5</v>
      </c>
      <c r="BI2" s="5">
        <v>6</v>
      </c>
      <c r="BJ2" s="68">
        <v>19</v>
      </c>
    </row>
    <row r="3" spans="1:65" ht="30.75" thickBot="1" x14ac:dyDescent="0.3">
      <c r="A3" s="57">
        <v>497026</v>
      </c>
      <c r="B3" s="58" t="s">
        <v>23</v>
      </c>
      <c r="C3" s="6" t="s">
        <v>39</v>
      </c>
      <c r="D3" s="14">
        <v>45240</v>
      </c>
      <c r="E3" s="14">
        <v>45428</v>
      </c>
      <c r="F3" s="6" t="s">
        <v>77</v>
      </c>
      <c r="G3" s="14">
        <v>30198</v>
      </c>
      <c r="H3" s="44">
        <f t="shared" si="0"/>
        <v>41</v>
      </c>
      <c r="I3" s="6">
        <v>1</v>
      </c>
      <c r="J3" s="6">
        <v>33</v>
      </c>
      <c r="K3" s="6" t="s">
        <v>30</v>
      </c>
      <c r="L3" s="6" t="s">
        <v>78</v>
      </c>
      <c r="M3" s="6"/>
      <c r="N3" s="6" t="s">
        <v>92</v>
      </c>
      <c r="O3" s="27"/>
      <c r="P3" s="83">
        <f>28+6/7</f>
        <v>28.857142857142858</v>
      </c>
      <c r="Q3" s="6">
        <v>2</v>
      </c>
      <c r="R3" s="6">
        <v>0</v>
      </c>
      <c r="S3" s="6">
        <v>1</v>
      </c>
      <c r="T3" s="6" t="s">
        <v>80</v>
      </c>
      <c r="U3" s="6" t="s">
        <v>95</v>
      </c>
      <c r="V3" s="6" t="s">
        <v>77</v>
      </c>
      <c r="W3" s="6" t="s">
        <v>559</v>
      </c>
      <c r="X3" s="6" t="s">
        <v>411</v>
      </c>
      <c r="Y3" s="6" t="s">
        <v>373</v>
      </c>
      <c r="Z3" s="6" t="s">
        <v>39</v>
      </c>
      <c r="AA3" s="14">
        <v>45439</v>
      </c>
      <c r="AB3" s="83">
        <f>30+3/7</f>
        <v>30.428571428571427</v>
      </c>
      <c r="AC3" s="6"/>
      <c r="AD3" s="27" t="s">
        <v>568</v>
      </c>
      <c r="AE3" s="44">
        <f t="shared" si="1"/>
        <v>11</v>
      </c>
      <c r="AF3" s="6">
        <v>1</v>
      </c>
      <c r="AG3" s="27" t="s">
        <v>409</v>
      </c>
      <c r="AH3" s="6" t="s">
        <v>80</v>
      </c>
      <c r="AI3" s="27" t="s">
        <v>559</v>
      </c>
      <c r="AJ3" s="6" t="s">
        <v>175</v>
      </c>
      <c r="AK3" s="6" t="s">
        <v>373</v>
      </c>
      <c r="AL3" s="6" t="s">
        <v>134</v>
      </c>
      <c r="AM3" s="83">
        <f>31+4/7</f>
        <v>31.571428571428573</v>
      </c>
      <c r="AN3" s="6"/>
      <c r="AO3" s="159">
        <v>1</v>
      </c>
      <c r="AQ3" s="113" t="s">
        <v>592</v>
      </c>
      <c r="AR3" s="114" t="s">
        <v>593</v>
      </c>
      <c r="AS3" s="114" t="s">
        <v>594</v>
      </c>
      <c r="AT3" s="114" t="s">
        <v>595</v>
      </c>
      <c r="AU3" s="115" t="s">
        <v>596</v>
      </c>
      <c r="AV3" s="115"/>
      <c r="AZ3" s="109">
        <f>8+5+6</f>
        <v>19</v>
      </c>
      <c r="BA3" s="54" t="s">
        <v>682</v>
      </c>
      <c r="BB3" s="54" t="s">
        <v>674</v>
      </c>
      <c r="BC3" s="110" t="s">
        <v>683</v>
      </c>
      <c r="BF3" s="147" t="s">
        <v>730</v>
      </c>
      <c r="BG3" s="5">
        <v>21</v>
      </c>
      <c r="BH3" s="5">
        <v>3</v>
      </c>
      <c r="BI3" s="5">
        <v>0</v>
      </c>
      <c r="BJ3" s="68">
        <v>24</v>
      </c>
    </row>
    <row r="4" spans="1:65" ht="15.75" thickBot="1" x14ac:dyDescent="0.3">
      <c r="A4" s="61">
        <v>516202</v>
      </c>
      <c r="B4" s="6" t="s">
        <v>7</v>
      </c>
      <c r="C4" s="6" t="s">
        <v>4</v>
      </c>
      <c r="D4" s="14">
        <v>45126</v>
      </c>
      <c r="E4" s="14">
        <v>45343</v>
      </c>
      <c r="F4" s="6" t="s">
        <v>77</v>
      </c>
      <c r="G4" s="14">
        <v>28194</v>
      </c>
      <c r="H4" s="44">
        <f t="shared" si="0"/>
        <v>46</v>
      </c>
      <c r="I4" s="6">
        <v>0</v>
      </c>
      <c r="J4" s="6">
        <v>23</v>
      </c>
      <c r="K4" s="6" t="s">
        <v>135</v>
      </c>
      <c r="L4" s="6" t="s">
        <v>78</v>
      </c>
      <c r="M4" s="27"/>
      <c r="N4" s="27"/>
      <c r="O4" s="6"/>
      <c r="P4" s="83">
        <v>33</v>
      </c>
      <c r="Q4" s="6">
        <v>2</v>
      </c>
      <c r="R4" s="6">
        <v>1</v>
      </c>
      <c r="S4" s="6">
        <v>2</v>
      </c>
      <c r="T4" s="6" t="s">
        <v>80</v>
      </c>
      <c r="U4" s="6" t="s">
        <v>165</v>
      </c>
      <c r="V4" s="6" t="s">
        <v>78</v>
      </c>
      <c r="W4" s="27" t="s">
        <v>558</v>
      </c>
      <c r="X4" s="6" t="s">
        <v>82</v>
      </c>
      <c r="Y4" s="6" t="s">
        <v>248</v>
      </c>
      <c r="Z4" s="6" t="s">
        <v>4</v>
      </c>
      <c r="AA4" s="14">
        <v>45355</v>
      </c>
      <c r="AB4" s="83">
        <f>34+4/7</f>
        <v>34.571428571428569</v>
      </c>
      <c r="AC4" s="6"/>
      <c r="AD4" s="129" t="s">
        <v>574</v>
      </c>
      <c r="AE4" s="44">
        <f t="shared" si="1"/>
        <v>12</v>
      </c>
      <c r="AF4" s="44">
        <v>1</v>
      </c>
      <c r="AG4" s="6" t="s">
        <v>4</v>
      </c>
      <c r="AH4" s="6" t="s">
        <v>80</v>
      </c>
      <c r="AI4" s="27" t="s">
        <v>558</v>
      </c>
      <c r="AJ4" s="6" t="s">
        <v>82</v>
      </c>
      <c r="AK4" s="6" t="s">
        <v>247</v>
      </c>
      <c r="AL4" s="6" t="s">
        <v>329</v>
      </c>
      <c r="AM4" s="83">
        <f>34+4/7</f>
        <v>34.571428571428569</v>
      </c>
      <c r="AN4" s="6" t="s">
        <v>4</v>
      </c>
      <c r="AO4" s="159">
        <v>0</v>
      </c>
      <c r="AQ4" s="54"/>
      <c r="AR4" s="54"/>
      <c r="AS4" s="54"/>
      <c r="AT4" s="54"/>
      <c r="AU4" s="54"/>
      <c r="AZ4" s="109" t="s">
        <v>675</v>
      </c>
      <c r="BA4" s="54"/>
      <c r="BB4" s="54"/>
      <c r="BC4" s="110"/>
      <c r="BF4" s="147" t="s">
        <v>732</v>
      </c>
      <c r="BG4" s="5">
        <v>11</v>
      </c>
      <c r="BH4" s="5">
        <v>4</v>
      </c>
      <c r="BI4" s="5">
        <v>0</v>
      </c>
      <c r="BJ4" s="68">
        <v>15</v>
      </c>
    </row>
    <row r="5" spans="1:65" ht="60" x14ac:dyDescent="0.25">
      <c r="A5" s="57">
        <v>227712</v>
      </c>
      <c r="B5" s="58" t="s">
        <v>23</v>
      </c>
      <c r="C5" s="6" t="s">
        <v>39</v>
      </c>
      <c r="D5" s="14">
        <v>45085</v>
      </c>
      <c r="E5" s="14">
        <v>45267</v>
      </c>
      <c r="F5" s="6" t="s">
        <v>77</v>
      </c>
      <c r="G5" s="14">
        <v>32981</v>
      </c>
      <c r="H5" s="44">
        <f t="shared" si="0"/>
        <v>33</v>
      </c>
      <c r="I5" s="6">
        <v>0</v>
      </c>
      <c r="J5" s="6">
        <v>34</v>
      </c>
      <c r="K5" s="6" t="s">
        <v>30</v>
      </c>
      <c r="L5" s="6" t="s">
        <v>78</v>
      </c>
      <c r="M5" s="6"/>
      <c r="N5" s="6"/>
      <c r="O5" s="6"/>
      <c r="P5" s="83">
        <f>28+1/7</f>
        <v>28.142857142857142</v>
      </c>
      <c r="Q5" s="6">
        <v>2</v>
      </c>
      <c r="R5" s="6">
        <v>0</v>
      </c>
      <c r="S5" s="6">
        <v>1</v>
      </c>
      <c r="T5" s="6" t="s">
        <v>80</v>
      </c>
      <c r="U5" s="6" t="s">
        <v>165</v>
      </c>
      <c r="V5" s="6" t="s">
        <v>77</v>
      </c>
      <c r="W5" s="6" t="s">
        <v>559</v>
      </c>
      <c r="X5" s="6" t="s">
        <v>82</v>
      </c>
      <c r="Y5" s="6" t="s">
        <v>373</v>
      </c>
      <c r="Z5" s="6" t="s">
        <v>76</v>
      </c>
      <c r="AA5" s="14">
        <v>45310</v>
      </c>
      <c r="AB5" s="83">
        <f>34+1/7</f>
        <v>34.142857142857146</v>
      </c>
      <c r="AC5" s="27" t="s">
        <v>220</v>
      </c>
      <c r="AD5" s="6" t="s">
        <v>573</v>
      </c>
      <c r="AE5" s="44">
        <f t="shared" si="1"/>
        <v>43</v>
      </c>
      <c r="AF5" s="6">
        <v>2</v>
      </c>
      <c r="AG5" s="27" t="s">
        <v>572</v>
      </c>
      <c r="AH5" s="6" t="s">
        <v>84</v>
      </c>
      <c r="AI5" s="27" t="s">
        <v>559</v>
      </c>
      <c r="AJ5" s="6" t="s">
        <v>82</v>
      </c>
      <c r="AK5" s="27" t="s">
        <v>423</v>
      </c>
      <c r="AL5" s="6" t="s">
        <v>4</v>
      </c>
      <c r="AM5" s="83">
        <f>35+2/7</f>
        <v>35.285714285714285</v>
      </c>
      <c r="AN5" s="6" t="s">
        <v>260</v>
      </c>
      <c r="AO5" s="159">
        <v>8</v>
      </c>
      <c r="AQ5" s="120" t="s">
        <v>26</v>
      </c>
      <c r="AR5" s="108"/>
      <c r="AS5" s="128" t="s">
        <v>626</v>
      </c>
      <c r="AT5" s="54" t="s">
        <v>625</v>
      </c>
      <c r="AZ5" s="109">
        <v>24</v>
      </c>
      <c r="BA5" s="54" t="s">
        <v>684</v>
      </c>
      <c r="BB5" s="54" t="s">
        <v>676</v>
      </c>
      <c r="BC5" s="110"/>
      <c r="BF5" s="147" t="s">
        <v>733</v>
      </c>
      <c r="BG5" s="5">
        <v>1</v>
      </c>
      <c r="BH5" s="5">
        <v>0</v>
      </c>
      <c r="BI5" s="5">
        <v>0</v>
      </c>
      <c r="BJ5" s="68">
        <v>1</v>
      </c>
    </row>
    <row r="6" spans="1:65" ht="105.75" thickBot="1" x14ac:dyDescent="0.3">
      <c r="A6" s="61">
        <v>515336</v>
      </c>
      <c r="B6" s="6" t="s">
        <v>7</v>
      </c>
      <c r="C6" s="6" t="s">
        <v>4</v>
      </c>
      <c r="D6" s="14">
        <v>45150</v>
      </c>
      <c r="E6" s="14">
        <v>45328</v>
      </c>
      <c r="F6" s="6" t="s">
        <v>77</v>
      </c>
      <c r="G6" s="14">
        <v>34722</v>
      </c>
      <c r="H6" s="44">
        <f t="shared" si="0"/>
        <v>28</v>
      </c>
      <c r="I6" s="6">
        <v>0</v>
      </c>
      <c r="J6" s="6">
        <v>37</v>
      </c>
      <c r="K6" s="6" t="s">
        <v>135</v>
      </c>
      <c r="L6" s="6" t="s">
        <v>229</v>
      </c>
      <c r="M6" s="6"/>
      <c r="N6" s="6" t="s">
        <v>92</v>
      </c>
      <c r="O6" s="6"/>
      <c r="P6" s="83">
        <f>27+3/7</f>
        <v>27.428571428571427</v>
      </c>
      <c r="Q6" s="6">
        <v>2</v>
      </c>
      <c r="R6" s="6">
        <v>1</v>
      </c>
      <c r="S6" s="6">
        <v>1</v>
      </c>
      <c r="T6" s="6" t="s">
        <v>80</v>
      </c>
      <c r="U6" s="6" t="s">
        <v>165</v>
      </c>
      <c r="V6" s="6" t="s">
        <v>77</v>
      </c>
      <c r="W6" s="6" t="s">
        <v>559</v>
      </c>
      <c r="X6" s="6" t="s">
        <v>82</v>
      </c>
      <c r="Y6" s="6" t="s">
        <v>373</v>
      </c>
      <c r="Z6" s="6" t="s">
        <v>6</v>
      </c>
      <c r="AA6" s="14">
        <v>45385</v>
      </c>
      <c r="AB6" s="83">
        <v>36</v>
      </c>
      <c r="AC6" s="6" t="s">
        <v>4</v>
      </c>
      <c r="AD6" s="6" t="s">
        <v>207</v>
      </c>
      <c r="AE6" s="44">
        <f t="shared" si="1"/>
        <v>57</v>
      </c>
      <c r="AF6" s="44">
        <v>2</v>
      </c>
      <c r="AG6" s="27" t="s">
        <v>231</v>
      </c>
      <c r="AH6" s="6" t="s">
        <v>80</v>
      </c>
      <c r="AI6" s="6" t="s">
        <v>559</v>
      </c>
      <c r="AJ6" s="6" t="s">
        <v>82</v>
      </c>
      <c r="AK6" s="27" t="s">
        <v>230</v>
      </c>
      <c r="AL6" s="6" t="s">
        <v>207</v>
      </c>
      <c r="AM6" s="83">
        <v>36</v>
      </c>
      <c r="AN6" s="6" t="s">
        <v>4</v>
      </c>
      <c r="AO6" s="159">
        <v>0</v>
      </c>
      <c r="AQ6" s="109" t="s">
        <v>110</v>
      </c>
      <c r="AR6" s="110">
        <v>4</v>
      </c>
      <c r="AT6" t="s">
        <v>624</v>
      </c>
      <c r="AU6" s="54"/>
      <c r="AZ6" s="109" t="s">
        <v>3</v>
      </c>
      <c r="BA6" s="54"/>
      <c r="BB6" s="54"/>
      <c r="BC6" s="110"/>
      <c r="BF6" s="148" t="s">
        <v>736</v>
      </c>
      <c r="BG6" s="145"/>
      <c r="BH6" s="145"/>
      <c r="BI6" s="145"/>
      <c r="BJ6" s="70">
        <f>SUM(BJ2:BJ5)</f>
        <v>59</v>
      </c>
    </row>
    <row r="7" spans="1:65" ht="90" x14ac:dyDescent="0.25">
      <c r="A7" s="63">
        <v>516775</v>
      </c>
      <c r="B7" s="6" t="s">
        <v>7</v>
      </c>
      <c r="C7" s="27" t="s">
        <v>76</v>
      </c>
      <c r="D7" s="14">
        <v>45179</v>
      </c>
      <c r="E7" s="14">
        <v>45356</v>
      </c>
      <c r="F7" s="6" t="s">
        <v>77</v>
      </c>
      <c r="G7" s="14">
        <v>30928</v>
      </c>
      <c r="H7" s="44">
        <f t="shared" si="0"/>
        <v>39</v>
      </c>
      <c r="I7" s="6">
        <v>2</v>
      </c>
      <c r="J7" s="6">
        <v>38</v>
      </c>
      <c r="K7" s="6" t="s">
        <v>30</v>
      </c>
      <c r="L7" s="6" t="s">
        <v>78</v>
      </c>
      <c r="M7" s="6" t="s">
        <v>4</v>
      </c>
      <c r="N7" s="6"/>
      <c r="O7" s="6"/>
      <c r="P7" s="83">
        <f>27+2/7</f>
        <v>27.285714285714285</v>
      </c>
      <c r="Q7" s="6">
        <v>2</v>
      </c>
      <c r="R7" s="6">
        <v>1</v>
      </c>
      <c r="S7" s="6">
        <v>1</v>
      </c>
      <c r="T7" s="6" t="s">
        <v>80</v>
      </c>
      <c r="U7" s="6" t="s">
        <v>165</v>
      </c>
      <c r="V7" s="6" t="s">
        <v>78</v>
      </c>
      <c r="W7" s="6" t="s">
        <v>559</v>
      </c>
      <c r="X7" s="6" t="s">
        <v>82</v>
      </c>
      <c r="Y7" s="27" t="s">
        <v>373</v>
      </c>
      <c r="Z7" s="6" t="s">
        <v>76</v>
      </c>
      <c r="AA7" s="14">
        <v>45415</v>
      </c>
      <c r="AB7" s="83">
        <f>35+5/7</f>
        <v>35.714285714285715</v>
      </c>
      <c r="AC7" s="6" t="s">
        <v>4</v>
      </c>
      <c r="AD7" s="6" t="s">
        <v>298</v>
      </c>
      <c r="AE7" s="44">
        <f t="shared" si="1"/>
        <v>59</v>
      </c>
      <c r="AF7" s="44">
        <v>2</v>
      </c>
      <c r="AG7" s="27" t="s">
        <v>299</v>
      </c>
      <c r="AH7" s="6" t="s">
        <v>71</v>
      </c>
      <c r="AI7" s="6" t="s">
        <v>559</v>
      </c>
      <c r="AJ7" s="6" t="s">
        <v>82</v>
      </c>
      <c r="AK7" s="6" t="s">
        <v>301</v>
      </c>
      <c r="AL7" s="6" t="s">
        <v>580</v>
      </c>
      <c r="AM7" s="83">
        <f>36+1/7</f>
        <v>36.142857142857146</v>
      </c>
      <c r="AN7" s="6" t="s">
        <v>303</v>
      </c>
      <c r="AO7" s="159">
        <v>3</v>
      </c>
      <c r="AQ7" s="109" t="s">
        <v>597</v>
      </c>
      <c r="AR7" s="110">
        <v>44</v>
      </c>
      <c r="AZ7" s="109">
        <v>1</v>
      </c>
      <c r="BA7" s="54" t="s">
        <v>677</v>
      </c>
      <c r="BB7" s="54"/>
      <c r="BC7" s="110"/>
    </row>
    <row r="8" spans="1:65" ht="30" x14ac:dyDescent="0.25">
      <c r="A8" s="62">
        <v>411682</v>
      </c>
      <c r="B8" s="58" t="s">
        <v>23</v>
      </c>
      <c r="C8" s="6" t="s">
        <v>76</v>
      </c>
      <c r="D8" s="14">
        <v>45330</v>
      </c>
      <c r="E8" s="14">
        <v>45306</v>
      </c>
      <c r="F8" s="6" t="s">
        <v>77</v>
      </c>
      <c r="G8" s="14">
        <v>30722</v>
      </c>
      <c r="H8" s="44">
        <f t="shared" si="0"/>
        <v>39</v>
      </c>
      <c r="I8" s="6">
        <v>1</v>
      </c>
      <c r="J8" s="161" t="s">
        <v>208</v>
      </c>
      <c r="K8" s="6" t="s">
        <v>30</v>
      </c>
      <c r="L8" s="6" t="s">
        <v>78</v>
      </c>
      <c r="M8" s="27" t="s">
        <v>547</v>
      </c>
      <c r="N8" s="6" t="s">
        <v>92</v>
      </c>
      <c r="O8" s="6"/>
      <c r="P8" s="83">
        <f>35+4/7</f>
        <v>35.571428571428569</v>
      </c>
      <c r="Q8" s="6">
        <v>2</v>
      </c>
      <c r="R8" s="6">
        <v>0</v>
      </c>
      <c r="S8" s="6">
        <v>1</v>
      </c>
      <c r="T8" s="6" t="s">
        <v>80</v>
      </c>
      <c r="U8" s="6" t="s">
        <v>165</v>
      </c>
      <c r="V8" s="6" t="s">
        <v>78</v>
      </c>
      <c r="W8" s="6" t="s">
        <v>559</v>
      </c>
      <c r="X8" s="6" t="s">
        <v>82</v>
      </c>
      <c r="Y8" s="6" t="s">
        <v>373</v>
      </c>
      <c r="Z8" s="6" t="s">
        <v>76</v>
      </c>
      <c r="AA8" s="14">
        <v>45310</v>
      </c>
      <c r="AB8" s="83">
        <f>36+1/7</f>
        <v>36.142857142857146</v>
      </c>
      <c r="AC8" s="6"/>
      <c r="AD8" s="6" t="s">
        <v>579</v>
      </c>
      <c r="AE8" s="44">
        <f t="shared" si="1"/>
        <v>4</v>
      </c>
      <c r="AF8" s="6">
        <v>1</v>
      </c>
      <c r="AG8" s="6" t="s">
        <v>134</v>
      </c>
      <c r="AH8" s="6" t="s">
        <v>80</v>
      </c>
      <c r="AI8" s="27" t="s">
        <v>559</v>
      </c>
      <c r="AJ8" s="6" t="s">
        <v>82</v>
      </c>
      <c r="AK8" s="6" t="s">
        <v>373</v>
      </c>
      <c r="AL8" s="6" t="s">
        <v>134</v>
      </c>
      <c r="AM8" s="83">
        <f>36+1/7</f>
        <v>36.142857142857146</v>
      </c>
      <c r="AN8" s="6"/>
      <c r="AO8" s="159">
        <v>0</v>
      </c>
      <c r="AQ8" s="109" t="s">
        <v>598</v>
      </c>
      <c r="AR8" s="110">
        <v>10</v>
      </c>
      <c r="AS8" s="54"/>
      <c r="AT8" s="54"/>
      <c r="AU8" s="54"/>
      <c r="AZ8" s="109" t="s">
        <v>678</v>
      </c>
      <c r="BA8" s="54"/>
      <c r="BB8" s="54"/>
      <c r="BC8" s="110"/>
    </row>
    <row r="9" spans="1:65" ht="30.75" thickBot="1" x14ac:dyDescent="0.3">
      <c r="A9" s="60">
        <v>529607</v>
      </c>
      <c r="B9" s="6" t="s">
        <v>7</v>
      </c>
      <c r="C9" s="27" t="s">
        <v>461</v>
      </c>
      <c r="D9" s="14">
        <v>45408</v>
      </c>
      <c r="E9" s="14">
        <v>45630</v>
      </c>
      <c r="F9" s="6" t="s">
        <v>77</v>
      </c>
      <c r="G9" s="14">
        <v>34049</v>
      </c>
      <c r="H9" s="44">
        <f t="shared" si="0"/>
        <v>31</v>
      </c>
      <c r="I9" s="6">
        <v>1</v>
      </c>
      <c r="J9" s="161" t="s">
        <v>208</v>
      </c>
      <c r="K9" s="6" t="s">
        <v>30</v>
      </c>
      <c r="L9" s="6" t="s">
        <v>78</v>
      </c>
      <c r="M9" s="6"/>
      <c r="N9" s="6" t="s">
        <v>92</v>
      </c>
      <c r="O9" s="27" t="s">
        <v>537</v>
      </c>
      <c r="P9" s="83">
        <f>33+5/7</f>
        <v>33.714285714285715</v>
      </c>
      <c r="Q9" s="6">
        <v>2</v>
      </c>
      <c r="R9" s="6"/>
      <c r="S9" s="6">
        <v>0.25</v>
      </c>
      <c r="T9" s="6" t="s">
        <v>80</v>
      </c>
      <c r="U9" s="6" t="s">
        <v>95</v>
      </c>
      <c r="V9" s="6" t="s">
        <v>78</v>
      </c>
      <c r="W9" s="6" t="s">
        <v>559</v>
      </c>
      <c r="X9" s="6" t="s">
        <v>82</v>
      </c>
      <c r="Y9" s="6" t="s">
        <v>212</v>
      </c>
      <c r="Z9" s="6" t="s">
        <v>5</v>
      </c>
      <c r="AA9" s="14">
        <v>45646</v>
      </c>
      <c r="AB9" s="83">
        <v>36</v>
      </c>
      <c r="AC9" s="6"/>
      <c r="AD9" s="26" t="s">
        <v>211</v>
      </c>
      <c r="AE9" s="44">
        <f t="shared" si="1"/>
        <v>16</v>
      </c>
      <c r="AF9" s="44">
        <v>1</v>
      </c>
      <c r="AG9" s="6" t="s">
        <v>4</v>
      </c>
      <c r="AH9" s="6" t="s">
        <v>80</v>
      </c>
      <c r="AI9" s="27" t="s">
        <v>559</v>
      </c>
      <c r="AJ9" s="6" t="s">
        <v>82</v>
      </c>
      <c r="AK9" s="6" t="s">
        <v>213</v>
      </c>
      <c r="AL9" s="6" t="s">
        <v>329</v>
      </c>
      <c r="AM9" s="83">
        <f>36+3/7</f>
        <v>36.428571428571431</v>
      </c>
      <c r="AN9" s="6" t="s">
        <v>4</v>
      </c>
      <c r="AO9" s="159">
        <v>3</v>
      </c>
      <c r="AQ9" s="111" t="s">
        <v>599</v>
      </c>
      <c r="AR9" s="112">
        <v>1</v>
      </c>
      <c r="AS9" s="54"/>
      <c r="AT9" s="54"/>
      <c r="AU9" s="54"/>
      <c r="AZ9" s="111">
        <v>15</v>
      </c>
      <c r="BA9" s="119" t="s">
        <v>685</v>
      </c>
      <c r="BB9" s="119" t="s">
        <v>679</v>
      </c>
      <c r="BC9" s="112"/>
    </row>
    <row r="10" spans="1:65" ht="15.75" thickBot="1" x14ac:dyDescent="0.3">
      <c r="A10" s="63">
        <v>516943</v>
      </c>
      <c r="B10" s="6" t="s">
        <v>7</v>
      </c>
      <c r="C10" s="6" t="s">
        <v>4</v>
      </c>
      <c r="D10" s="14">
        <v>45120</v>
      </c>
      <c r="E10" s="14">
        <v>45355</v>
      </c>
      <c r="F10" s="6" t="s">
        <v>77</v>
      </c>
      <c r="G10" s="14">
        <v>34022</v>
      </c>
      <c r="H10" s="44">
        <f t="shared" si="0"/>
        <v>30</v>
      </c>
      <c r="I10" s="6">
        <v>0</v>
      </c>
      <c r="J10" s="6">
        <v>23</v>
      </c>
      <c r="K10" s="6" t="s">
        <v>30</v>
      </c>
      <c r="L10" s="6" t="s">
        <v>78</v>
      </c>
      <c r="M10" s="6"/>
      <c r="N10" s="6" t="s">
        <v>154</v>
      </c>
      <c r="O10" s="27" t="s">
        <v>84</v>
      </c>
      <c r="P10" s="83">
        <f>36+1/7</f>
        <v>36.142857142857146</v>
      </c>
      <c r="Q10" s="6">
        <v>2</v>
      </c>
      <c r="R10" s="6">
        <v>2</v>
      </c>
      <c r="S10" s="6">
        <v>1</v>
      </c>
      <c r="T10" s="6" t="s">
        <v>279</v>
      </c>
      <c r="U10" s="6" t="s">
        <v>165</v>
      </c>
      <c r="V10" s="6" t="s">
        <v>78</v>
      </c>
      <c r="W10" s="6" t="s">
        <v>559</v>
      </c>
      <c r="X10" s="6" t="s">
        <v>82</v>
      </c>
      <c r="Y10" s="6" t="s">
        <v>285</v>
      </c>
      <c r="Z10" s="6" t="s">
        <v>4</v>
      </c>
      <c r="AA10" s="14">
        <v>45359</v>
      </c>
      <c r="AB10" s="83">
        <f>36+5/7</f>
        <v>36.714285714285715</v>
      </c>
      <c r="AC10" s="6"/>
      <c r="AD10" s="26" t="s">
        <v>563</v>
      </c>
      <c r="AE10" s="44">
        <f t="shared" si="1"/>
        <v>4</v>
      </c>
      <c r="AF10" s="44">
        <v>1</v>
      </c>
      <c r="AG10" s="6" t="s">
        <v>281</v>
      </c>
      <c r="AH10" s="6" t="s">
        <v>84</v>
      </c>
      <c r="AI10" s="6" t="s">
        <v>559</v>
      </c>
      <c r="AJ10" s="6" t="s">
        <v>82</v>
      </c>
      <c r="AK10" s="6" t="s">
        <v>283</v>
      </c>
      <c r="AL10" s="6" t="s">
        <v>260</v>
      </c>
      <c r="AM10" s="83">
        <f>36+5/7</f>
        <v>36.714285714285715</v>
      </c>
      <c r="AN10" s="6" t="s">
        <v>260</v>
      </c>
      <c r="AO10" s="159">
        <v>0</v>
      </c>
      <c r="AQ10" s="54"/>
    </row>
    <row r="11" spans="1:65" x14ac:dyDescent="0.25">
      <c r="A11" s="57">
        <v>517507</v>
      </c>
      <c r="B11" s="6" t="s">
        <v>7</v>
      </c>
      <c r="C11" s="27" t="s">
        <v>5</v>
      </c>
      <c r="D11" s="14">
        <v>45153</v>
      </c>
      <c r="E11" s="14">
        <v>45366</v>
      </c>
      <c r="F11" s="6" t="s">
        <v>77</v>
      </c>
      <c r="G11" s="14">
        <v>32604</v>
      </c>
      <c r="H11" s="44">
        <f t="shared" si="0"/>
        <v>34</v>
      </c>
      <c r="I11" s="6">
        <v>3</v>
      </c>
      <c r="J11" s="6">
        <v>34</v>
      </c>
      <c r="K11" s="6" t="s">
        <v>30</v>
      </c>
      <c r="L11" s="6" t="s">
        <v>78</v>
      </c>
      <c r="M11" s="6"/>
      <c r="N11" s="6" t="s">
        <v>92</v>
      </c>
      <c r="O11" s="6"/>
      <c r="P11" s="83">
        <f>32+3/7</f>
        <v>32.428571428571431</v>
      </c>
      <c r="Q11" s="6">
        <v>2</v>
      </c>
      <c r="R11" s="6">
        <v>1</v>
      </c>
      <c r="S11" s="6">
        <v>1</v>
      </c>
      <c r="T11" s="6" t="s">
        <v>80</v>
      </c>
      <c r="U11" s="6" t="s">
        <v>95</v>
      </c>
      <c r="V11" s="6" t="s">
        <v>78</v>
      </c>
      <c r="W11" s="27" t="s">
        <v>558</v>
      </c>
      <c r="X11" s="6" t="s">
        <v>82</v>
      </c>
      <c r="Y11" s="6" t="s">
        <v>373</v>
      </c>
      <c r="Z11" s="6" t="s">
        <v>5</v>
      </c>
      <c r="AA11" s="14">
        <v>45398</v>
      </c>
      <c r="AB11" s="83">
        <v>37</v>
      </c>
      <c r="AC11" s="6"/>
      <c r="AD11" s="6" t="s">
        <v>207</v>
      </c>
      <c r="AE11" s="44">
        <f t="shared" si="1"/>
        <v>32</v>
      </c>
      <c r="AF11" s="44">
        <v>0</v>
      </c>
      <c r="AG11" s="6"/>
      <c r="AH11" s="6" t="s">
        <v>80</v>
      </c>
      <c r="AI11" s="27" t="s">
        <v>558</v>
      </c>
      <c r="AJ11" s="6" t="s">
        <v>82</v>
      </c>
      <c r="AK11" s="6" t="s">
        <v>83</v>
      </c>
      <c r="AL11" s="6" t="s">
        <v>207</v>
      </c>
      <c r="AM11" s="83">
        <v>37</v>
      </c>
      <c r="AN11" s="6" t="s">
        <v>4</v>
      </c>
      <c r="AO11" s="159">
        <v>0</v>
      </c>
      <c r="AQ11" s="54"/>
      <c r="AR11" s="54"/>
      <c r="AS11" s="54"/>
      <c r="AT11" s="54"/>
      <c r="AZ11" s="120" t="s">
        <v>4</v>
      </c>
      <c r="BA11" s="116">
        <v>5</v>
      </c>
      <c r="BB11" s="116"/>
      <c r="BC11" s="108"/>
      <c r="BE11" s="120" t="s">
        <v>694</v>
      </c>
      <c r="BF11" s="116"/>
      <c r="BG11" s="116">
        <v>40</v>
      </c>
      <c r="BH11" s="108"/>
      <c r="BJ11" s="120" t="s">
        <v>695</v>
      </c>
      <c r="BK11" s="116"/>
      <c r="BL11" s="116">
        <v>13</v>
      </c>
      <c r="BM11" s="108"/>
    </row>
    <row r="12" spans="1:65" ht="60.75" thickBot="1" x14ac:dyDescent="0.3">
      <c r="A12" s="60">
        <v>530666</v>
      </c>
      <c r="B12" s="6" t="s">
        <v>7</v>
      </c>
      <c r="C12" s="6" t="s">
        <v>4</v>
      </c>
      <c r="D12" s="14">
        <v>45408</v>
      </c>
      <c r="E12" s="14">
        <v>45646</v>
      </c>
      <c r="F12" s="6" t="s">
        <v>77</v>
      </c>
      <c r="G12" s="14">
        <v>34857</v>
      </c>
      <c r="H12" s="44">
        <f t="shared" si="0"/>
        <v>28</v>
      </c>
      <c r="I12" s="6">
        <v>0</v>
      </c>
      <c r="J12" s="6">
        <v>40</v>
      </c>
      <c r="K12" s="6" t="s">
        <v>30</v>
      </c>
      <c r="L12" s="6" t="s">
        <v>78</v>
      </c>
      <c r="M12" s="6"/>
      <c r="N12" s="6"/>
      <c r="O12" s="6"/>
      <c r="P12" s="83">
        <v>36</v>
      </c>
      <c r="Q12" s="6">
        <v>2</v>
      </c>
      <c r="R12" s="6">
        <v>1</v>
      </c>
      <c r="S12" s="6">
        <v>1</v>
      </c>
      <c r="T12" s="6" t="s">
        <v>80</v>
      </c>
      <c r="U12" s="6" t="s">
        <v>95</v>
      </c>
      <c r="V12" s="6" t="s">
        <v>78</v>
      </c>
      <c r="W12" s="27" t="s">
        <v>558</v>
      </c>
      <c r="X12" s="6" t="s">
        <v>82</v>
      </c>
      <c r="Y12" s="6" t="s">
        <v>323</v>
      </c>
      <c r="Z12" s="6" t="s">
        <v>179</v>
      </c>
      <c r="AA12" s="14">
        <v>45652</v>
      </c>
      <c r="AB12" s="83">
        <f>36+6/7</f>
        <v>36.857142857142854</v>
      </c>
      <c r="AC12" s="6"/>
      <c r="AD12" s="6" t="s">
        <v>207</v>
      </c>
      <c r="AE12" s="44">
        <f t="shared" si="1"/>
        <v>6</v>
      </c>
      <c r="AF12" s="44">
        <v>1</v>
      </c>
      <c r="AG12" s="27" t="s">
        <v>322</v>
      </c>
      <c r="AH12" s="6" t="s">
        <v>80</v>
      </c>
      <c r="AI12" s="27" t="s">
        <v>558</v>
      </c>
      <c r="AJ12" s="6" t="s">
        <v>324</v>
      </c>
      <c r="AK12" s="6" t="s">
        <v>324</v>
      </c>
      <c r="AL12" s="6" t="s">
        <v>207</v>
      </c>
      <c r="AM12" s="131">
        <v>37</v>
      </c>
      <c r="AN12" s="6" t="s">
        <v>4</v>
      </c>
      <c r="AO12" s="159">
        <v>1</v>
      </c>
      <c r="AQ12" s="54"/>
      <c r="AR12" s="54"/>
      <c r="AS12" s="54"/>
      <c r="AT12" s="54"/>
      <c r="AU12" s="54"/>
      <c r="AZ12" s="109" t="s">
        <v>686</v>
      </c>
      <c r="BA12" s="54"/>
      <c r="BB12" s="54"/>
      <c r="BC12" s="110"/>
      <c r="BE12" s="109" t="s">
        <v>696</v>
      </c>
      <c r="BF12" s="54"/>
      <c r="BG12" s="54"/>
      <c r="BH12" s="110" t="s">
        <v>699</v>
      </c>
      <c r="BJ12" s="109" t="s">
        <v>714</v>
      </c>
      <c r="BK12" s="54"/>
      <c r="BL12" s="54"/>
      <c r="BM12" s="110" t="s">
        <v>610</v>
      </c>
    </row>
    <row r="13" spans="1:65" ht="45" x14ac:dyDescent="0.25">
      <c r="A13" s="61">
        <v>515419</v>
      </c>
      <c r="B13" s="6" t="s">
        <v>7</v>
      </c>
      <c r="C13" s="6" t="s">
        <v>4</v>
      </c>
      <c r="D13" s="14">
        <v>45464</v>
      </c>
      <c r="E13" s="14">
        <v>45324</v>
      </c>
      <c r="F13" s="6" t="s">
        <v>77</v>
      </c>
      <c r="G13" s="14">
        <v>30853</v>
      </c>
      <c r="H13" s="44">
        <f t="shared" si="0"/>
        <v>40</v>
      </c>
      <c r="I13" s="6">
        <v>0</v>
      </c>
      <c r="J13" s="6">
        <v>29</v>
      </c>
      <c r="K13" s="6" t="s">
        <v>135</v>
      </c>
      <c r="L13" s="6" t="s">
        <v>78</v>
      </c>
      <c r="M13" s="6"/>
      <c r="N13" s="6"/>
      <c r="O13" s="6"/>
      <c r="P13" s="83">
        <f>33+6/7</f>
        <v>33.857142857142854</v>
      </c>
      <c r="Q13" s="6">
        <v>2</v>
      </c>
      <c r="R13" s="6">
        <v>1</v>
      </c>
      <c r="S13" s="6">
        <v>1</v>
      </c>
      <c r="T13" s="6" t="s">
        <v>80</v>
      </c>
      <c r="U13" s="6" t="s">
        <v>165</v>
      </c>
      <c r="V13" s="6" t="s">
        <v>77</v>
      </c>
      <c r="W13" s="6" t="s">
        <v>559</v>
      </c>
      <c r="X13" s="27" t="s">
        <v>224</v>
      </c>
      <c r="Y13" s="6" t="s">
        <v>225</v>
      </c>
      <c r="Z13" s="6" t="s">
        <v>4</v>
      </c>
      <c r="AA13" s="14">
        <v>45345</v>
      </c>
      <c r="AB13" s="83">
        <f>36+6/7</f>
        <v>36.857142857142854</v>
      </c>
      <c r="AC13" s="6"/>
      <c r="AD13" s="6" t="s">
        <v>207</v>
      </c>
      <c r="AE13" s="44">
        <f t="shared" si="1"/>
        <v>21</v>
      </c>
      <c r="AF13" s="44">
        <v>0</v>
      </c>
      <c r="AG13" s="6"/>
      <c r="AH13" s="6" t="s">
        <v>80</v>
      </c>
      <c r="AI13" s="6" t="s">
        <v>559</v>
      </c>
      <c r="AJ13" s="6" t="s">
        <v>82</v>
      </c>
      <c r="AK13" s="27" t="s">
        <v>226</v>
      </c>
      <c r="AL13" s="6" t="s">
        <v>207</v>
      </c>
      <c r="AM13" s="83">
        <f>37+2/7</f>
        <v>37.285714285714285</v>
      </c>
      <c r="AN13" s="6" t="s">
        <v>4</v>
      </c>
      <c r="AO13" s="159">
        <v>3</v>
      </c>
      <c r="AQ13" s="120" t="s">
        <v>600</v>
      </c>
      <c r="AR13" s="124"/>
      <c r="AT13" s="120" t="s">
        <v>630</v>
      </c>
      <c r="AU13" s="124"/>
      <c r="AZ13" s="109" t="s">
        <v>687</v>
      </c>
      <c r="BA13" s="54"/>
      <c r="BB13" s="54"/>
      <c r="BC13" s="110"/>
      <c r="BE13" s="109" t="s">
        <v>697</v>
      </c>
      <c r="BF13" s="54"/>
      <c r="BG13" s="54"/>
      <c r="BH13" s="110" t="s">
        <v>698</v>
      </c>
      <c r="BJ13" s="109" t="s">
        <v>715</v>
      </c>
      <c r="BK13" s="54"/>
      <c r="BL13" s="54"/>
      <c r="BM13" s="110" t="s">
        <v>716</v>
      </c>
    </row>
    <row r="14" spans="1:65" ht="30" x14ac:dyDescent="0.25">
      <c r="A14" s="60">
        <v>522883</v>
      </c>
      <c r="B14" s="6" t="s">
        <v>7</v>
      </c>
      <c r="C14" s="6" t="s">
        <v>4</v>
      </c>
      <c r="D14" s="14">
        <v>45301</v>
      </c>
      <c r="E14" s="14">
        <v>45479</v>
      </c>
      <c r="F14" s="6" t="s">
        <v>77</v>
      </c>
      <c r="G14" s="14">
        <v>33828</v>
      </c>
      <c r="H14" s="44">
        <f t="shared" si="0"/>
        <v>31</v>
      </c>
      <c r="I14" s="6">
        <v>0</v>
      </c>
      <c r="J14" s="6">
        <v>25</v>
      </c>
      <c r="K14" s="6" t="s">
        <v>135</v>
      </c>
      <c r="L14" s="6" t="s">
        <v>78</v>
      </c>
      <c r="M14" s="6"/>
      <c r="N14" s="6" t="s">
        <v>154</v>
      </c>
      <c r="O14" s="27"/>
      <c r="P14" s="83">
        <f>27+3/7</f>
        <v>27.428571428571427</v>
      </c>
      <c r="Q14" s="6">
        <v>2</v>
      </c>
      <c r="R14" s="6">
        <v>1</v>
      </c>
      <c r="S14" s="6">
        <v>2</v>
      </c>
      <c r="T14" s="6" t="s">
        <v>80</v>
      </c>
      <c r="U14" s="6" t="s">
        <v>165</v>
      </c>
      <c r="V14" s="6" t="s">
        <v>77</v>
      </c>
      <c r="W14" s="27" t="s">
        <v>558</v>
      </c>
      <c r="X14" s="6" t="s">
        <v>82</v>
      </c>
      <c r="Y14" s="6" t="s">
        <v>122</v>
      </c>
      <c r="Z14" s="6" t="s">
        <v>4</v>
      </c>
      <c r="AA14" s="14">
        <v>45548</v>
      </c>
      <c r="AB14" s="83">
        <f>37+2/7</f>
        <v>37.285714285714285</v>
      </c>
      <c r="AC14" s="6" t="s">
        <v>84</v>
      </c>
      <c r="AD14" s="6" t="s">
        <v>207</v>
      </c>
      <c r="AE14" s="44">
        <f t="shared" si="1"/>
        <v>69</v>
      </c>
      <c r="AF14" s="44">
        <v>2</v>
      </c>
      <c r="AG14" s="27" t="s">
        <v>464</v>
      </c>
      <c r="AH14" s="6" t="s">
        <v>84</v>
      </c>
      <c r="AI14" s="27" t="s">
        <v>558</v>
      </c>
      <c r="AJ14" s="6" t="s">
        <v>326</v>
      </c>
      <c r="AK14" s="6" t="s">
        <v>327</v>
      </c>
      <c r="AL14" s="6" t="s">
        <v>207</v>
      </c>
      <c r="AM14" s="131">
        <f>37+3/7</f>
        <v>37.428571428571431</v>
      </c>
      <c r="AN14" s="6" t="s">
        <v>4</v>
      </c>
      <c r="AO14" s="159">
        <v>0</v>
      </c>
      <c r="AQ14" s="109" t="s">
        <v>602</v>
      </c>
      <c r="AR14" s="110">
        <v>19</v>
      </c>
      <c r="AT14" s="109" t="s">
        <v>385</v>
      </c>
      <c r="AU14" s="110">
        <v>1</v>
      </c>
      <c r="AZ14" s="109" t="s">
        <v>688</v>
      </c>
      <c r="BA14" s="54"/>
      <c r="BB14" s="54"/>
      <c r="BC14" s="110"/>
      <c r="BE14" s="109" t="s">
        <v>700</v>
      </c>
      <c r="BF14" s="54"/>
      <c r="BG14" s="54"/>
      <c r="BH14" s="110" t="s">
        <v>701</v>
      </c>
      <c r="BJ14" s="109" t="s">
        <v>700</v>
      </c>
      <c r="BK14" s="54"/>
      <c r="BL14" s="54"/>
      <c r="BM14" s="110" t="s">
        <v>717</v>
      </c>
    </row>
    <row r="15" spans="1:65" x14ac:dyDescent="0.25">
      <c r="A15" s="59">
        <v>522367</v>
      </c>
      <c r="B15" s="59" t="s">
        <v>3</v>
      </c>
      <c r="C15" s="6" t="s">
        <v>39</v>
      </c>
      <c r="D15" s="14">
        <v>45291</v>
      </c>
      <c r="E15" s="14">
        <v>45474</v>
      </c>
      <c r="F15" s="6" t="s">
        <v>77</v>
      </c>
      <c r="G15" s="14">
        <v>30576</v>
      </c>
      <c r="H15" s="44">
        <f t="shared" si="0"/>
        <v>40</v>
      </c>
      <c r="I15" s="6">
        <v>4</v>
      </c>
      <c r="J15" s="6">
        <v>29</v>
      </c>
      <c r="K15" s="6" t="s">
        <v>30</v>
      </c>
      <c r="L15" s="6" t="s">
        <v>78</v>
      </c>
      <c r="M15" s="27" t="s">
        <v>541</v>
      </c>
      <c r="N15" s="27"/>
      <c r="O15" s="6"/>
      <c r="P15" s="83">
        <f>28+1/7</f>
        <v>28.142857142857142</v>
      </c>
      <c r="Q15" s="6">
        <v>2</v>
      </c>
      <c r="R15" s="6">
        <v>0</v>
      </c>
      <c r="S15" s="6">
        <v>1</v>
      </c>
      <c r="T15" s="6" t="s">
        <v>80</v>
      </c>
      <c r="U15" s="6" t="s">
        <v>95</v>
      </c>
      <c r="V15" s="6" t="s">
        <v>78</v>
      </c>
      <c r="W15" s="27" t="s">
        <v>560</v>
      </c>
      <c r="X15" s="6" t="s">
        <v>82</v>
      </c>
      <c r="Y15" s="6" t="s">
        <v>373</v>
      </c>
      <c r="Z15" s="6" t="s">
        <v>39</v>
      </c>
      <c r="AA15" s="14">
        <v>45529</v>
      </c>
      <c r="AB15" s="83">
        <v>36</v>
      </c>
      <c r="AC15" s="6"/>
      <c r="AD15" s="27" t="s">
        <v>577</v>
      </c>
      <c r="AE15" s="44">
        <f t="shared" si="1"/>
        <v>55</v>
      </c>
      <c r="AF15" s="44">
        <v>1</v>
      </c>
      <c r="AG15" s="6" t="s">
        <v>332</v>
      </c>
      <c r="AH15" s="6" t="s">
        <v>71</v>
      </c>
      <c r="AI15" s="27" t="s">
        <v>558</v>
      </c>
      <c r="AJ15" s="6" t="s">
        <v>82</v>
      </c>
      <c r="AK15" s="6" t="s">
        <v>83</v>
      </c>
      <c r="AL15" s="6" t="s">
        <v>332</v>
      </c>
      <c r="AM15" s="83">
        <f>37+3/7</f>
        <v>37.428571428571431</v>
      </c>
      <c r="AN15" s="6" t="s">
        <v>499</v>
      </c>
      <c r="AO15" s="159">
        <v>10</v>
      </c>
      <c r="AQ15" s="109" t="s">
        <v>603</v>
      </c>
      <c r="AR15" s="110">
        <v>13</v>
      </c>
      <c r="AT15" s="109" t="s">
        <v>92</v>
      </c>
      <c r="AU15" s="110">
        <v>1</v>
      </c>
      <c r="AZ15" s="109" t="s">
        <v>689</v>
      </c>
      <c r="BA15" s="54" t="s">
        <v>690</v>
      </c>
      <c r="BB15" s="54"/>
      <c r="BC15" s="110"/>
      <c r="BE15" s="109" t="s">
        <v>689</v>
      </c>
      <c r="BF15" s="54" t="s">
        <v>702</v>
      </c>
      <c r="BG15" s="54"/>
      <c r="BH15" s="110"/>
      <c r="BJ15" s="109" t="s">
        <v>689</v>
      </c>
      <c r="BK15" s="54" t="s">
        <v>718</v>
      </c>
      <c r="BL15" s="54"/>
      <c r="BM15" s="110"/>
    </row>
    <row r="16" spans="1:65" x14ac:dyDescent="0.25">
      <c r="A16" s="61">
        <v>487721</v>
      </c>
      <c r="B16" s="6" t="s">
        <v>7</v>
      </c>
      <c r="C16" s="6" t="s">
        <v>76</v>
      </c>
      <c r="D16" s="14">
        <v>45117</v>
      </c>
      <c r="E16" s="14">
        <v>45327</v>
      </c>
      <c r="F16" s="6" t="s">
        <v>77</v>
      </c>
      <c r="G16" s="14">
        <v>31589</v>
      </c>
      <c r="H16" s="44">
        <f t="shared" si="0"/>
        <v>37</v>
      </c>
      <c r="I16" s="6">
        <v>5</v>
      </c>
      <c r="J16" s="6">
        <v>47</v>
      </c>
      <c r="K16" s="6" t="s">
        <v>30</v>
      </c>
      <c r="L16" s="6" t="s">
        <v>78</v>
      </c>
      <c r="M16" s="6" t="s">
        <v>182</v>
      </c>
      <c r="N16" s="6" t="s">
        <v>154</v>
      </c>
      <c r="O16" s="6"/>
      <c r="P16" s="83">
        <f>32</f>
        <v>32</v>
      </c>
      <c r="Q16" s="6">
        <v>2</v>
      </c>
      <c r="R16" s="6">
        <v>1</v>
      </c>
      <c r="S16" s="6">
        <v>0.5</v>
      </c>
      <c r="T16" s="6" t="s">
        <v>71</v>
      </c>
      <c r="U16" s="6" t="s">
        <v>165</v>
      </c>
      <c r="V16" s="6" t="s">
        <v>78</v>
      </c>
      <c r="W16" s="6" t="s">
        <v>559</v>
      </c>
      <c r="X16" s="6" t="s">
        <v>82</v>
      </c>
      <c r="Y16" s="6" t="s">
        <v>373</v>
      </c>
      <c r="Z16" s="6" t="s">
        <v>76</v>
      </c>
      <c r="AA16" s="14">
        <v>45363</v>
      </c>
      <c r="AB16" s="83">
        <f>37+2/7</f>
        <v>37.285714285714285</v>
      </c>
      <c r="AC16" s="6"/>
      <c r="AD16" s="6" t="s">
        <v>207</v>
      </c>
      <c r="AE16" s="44">
        <f t="shared" si="1"/>
        <v>36</v>
      </c>
      <c r="AF16" s="44">
        <v>0</v>
      </c>
      <c r="AG16" s="6"/>
      <c r="AH16" s="6" t="s">
        <v>71</v>
      </c>
      <c r="AI16" s="6" t="s">
        <v>559</v>
      </c>
      <c r="AJ16" s="6" t="s">
        <v>82</v>
      </c>
      <c r="AK16" s="6" t="s">
        <v>83</v>
      </c>
      <c r="AL16" s="6" t="s">
        <v>207</v>
      </c>
      <c r="AM16" s="83">
        <f>37+3/7</f>
        <v>37.428571428571431</v>
      </c>
      <c r="AN16" s="6" t="s">
        <v>319</v>
      </c>
      <c r="AO16" s="159">
        <v>1</v>
      </c>
      <c r="AQ16" s="109" t="s">
        <v>601</v>
      </c>
      <c r="AR16" s="110">
        <v>9</v>
      </c>
      <c r="AT16" s="151" t="s">
        <v>84</v>
      </c>
      <c r="AU16" s="152">
        <v>3</v>
      </c>
      <c r="AZ16" s="109"/>
      <c r="BA16" s="54" t="s">
        <v>691</v>
      </c>
      <c r="BB16" s="54"/>
      <c r="BC16" s="110"/>
      <c r="BE16" s="109"/>
      <c r="BF16" s="54" t="s">
        <v>703</v>
      </c>
      <c r="BG16" s="54"/>
      <c r="BH16" s="110"/>
      <c r="BJ16" s="109"/>
      <c r="BK16" s="54" t="s">
        <v>720</v>
      </c>
      <c r="BL16" s="54"/>
      <c r="BM16" s="110"/>
    </row>
    <row r="17" spans="1:65" ht="60.75" thickBot="1" x14ac:dyDescent="0.3">
      <c r="A17" s="60">
        <v>525515</v>
      </c>
      <c r="B17" s="58" t="s">
        <v>8</v>
      </c>
      <c r="C17" s="6" t="s">
        <v>39</v>
      </c>
      <c r="D17" s="14">
        <v>45397</v>
      </c>
      <c r="E17" s="14">
        <v>45588</v>
      </c>
      <c r="F17" s="6" t="s">
        <v>77</v>
      </c>
      <c r="G17" s="14">
        <v>30269</v>
      </c>
      <c r="H17" s="44">
        <f t="shared" si="0"/>
        <v>41</v>
      </c>
      <c r="I17" s="6">
        <v>4</v>
      </c>
      <c r="J17" s="6">
        <v>34</v>
      </c>
      <c r="K17" s="6" t="s">
        <v>30</v>
      </c>
      <c r="L17" s="6" t="s">
        <v>78</v>
      </c>
      <c r="M17" s="6"/>
      <c r="N17" s="6" t="s">
        <v>181</v>
      </c>
      <c r="O17" s="27"/>
      <c r="P17" s="83">
        <f>29+2/7</f>
        <v>29.285714285714285</v>
      </c>
      <c r="Q17" s="6">
        <v>2</v>
      </c>
      <c r="R17" s="6">
        <v>0</v>
      </c>
      <c r="S17" s="6">
        <v>1</v>
      </c>
      <c r="T17" s="6" t="s">
        <v>80</v>
      </c>
      <c r="U17" s="6" t="s">
        <v>95</v>
      </c>
      <c r="V17" s="6" t="s">
        <v>78</v>
      </c>
      <c r="W17" s="6" t="s">
        <v>559</v>
      </c>
      <c r="X17" s="6" t="s">
        <v>82</v>
      </c>
      <c r="Y17" s="6" t="s">
        <v>351</v>
      </c>
      <c r="Z17" s="6" t="s">
        <v>39</v>
      </c>
      <c r="AA17" s="14">
        <v>45647</v>
      </c>
      <c r="AB17" s="83">
        <f>37+4/7</f>
        <v>37.571428571428569</v>
      </c>
      <c r="AC17" s="6"/>
      <c r="AD17" s="6" t="s">
        <v>134</v>
      </c>
      <c r="AE17" s="44">
        <f t="shared" si="1"/>
        <v>59</v>
      </c>
      <c r="AF17" s="6">
        <v>2</v>
      </c>
      <c r="AG17" s="27" t="s">
        <v>396</v>
      </c>
      <c r="AH17" s="6" t="s">
        <v>80</v>
      </c>
      <c r="AI17" s="27" t="s">
        <v>559</v>
      </c>
      <c r="AJ17" s="6" t="s">
        <v>82</v>
      </c>
      <c r="AK17" s="6" t="s">
        <v>351</v>
      </c>
      <c r="AL17" s="6" t="s">
        <v>134</v>
      </c>
      <c r="AM17" s="83">
        <f>37+4/7</f>
        <v>37.571428571428569</v>
      </c>
      <c r="AN17" s="6"/>
      <c r="AO17" s="159">
        <v>0</v>
      </c>
      <c r="AQ17" s="109" t="s">
        <v>480</v>
      </c>
      <c r="AR17" s="110">
        <v>1</v>
      </c>
      <c r="AT17" s="125" t="s">
        <v>4</v>
      </c>
      <c r="AU17" s="153">
        <v>3</v>
      </c>
      <c r="AZ17" s="111"/>
      <c r="BA17" s="135" t="s">
        <v>692</v>
      </c>
      <c r="BB17" s="119"/>
      <c r="BC17" s="112"/>
      <c r="BE17" s="111"/>
      <c r="BF17" s="135" t="s">
        <v>704</v>
      </c>
      <c r="BG17" s="119"/>
      <c r="BH17" s="112"/>
      <c r="BJ17" s="111"/>
      <c r="BK17" s="135" t="s">
        <v>719</v>
      </c>
      <c r="BL17" s="119"/>
      <c r="BM17" s="112"/>
    </row>
    <row r="18" spans="1:65" ht="30" x14ac:dyDescent="0.25">
      <c r="A18" s="57">
        <v>278817</v>
      </c>
      <c r="B18" s="58" t="s">
        <v>23</v>
      </c>
      <c r="C18" s="6" t="s">
        <v>76</v>
      </c>
      <c r="D18" s="14">
        <v>45102</v>
      </c>
      <c r="E18" s="14">
        <v>45329</v>
      </c>
      <c r="F18" s="6" t="s">
        <v>77</v>
      </c>
      <c r="G18" s="14">
        <v>30831</v>
      </c>
      <c r="H18" s="44">
        <f>DATEDIF(G18,E18,"Y")</f>
        <v>39</v>
      </c>
      <c r="I18" s="6">
        <v>5</v>
      </c>
      <c r="J18" s="6">
        <v>35</v>
      </c>
      <c r="K18" s="6" t="s">
        <v>30</v>
      </c>
      <c r="L18" s="6" t="s">
        <v>78</v>
      </c>
      <c r="M18" s="27" t="s">
        <v>84</v>
      </c>
      <c r="N18" s="6" t="s">
        <v>92</v>
      </c>
      <c r="O18" s="6"/>
      <c r="P18" s="83">
        <f>32+1/7</f>
        <v>32.142857142857146</v>
      </c>
      <c r="Q18" s="6">
        <v>2</v>
      </c>
      <c r="R18" s="6">
        <v>0</v>
      </c>
      <c r="S18" s="6">
        <v>1</v>
      </c>
      <c r="T18" s="6" t="s">
        <v>80</v>
      </c>
      <c r="U18" s="6" t="s">
        <v>165</v>
      </c>
      <c r="V18" s="6" t="s">
        <v>78</v>
      </c>
      <c r="W18" s="6" t="s">
        <v>559</v>
      </c>
      <c r="X18" s="6" t="s">
        <v>82</v>
      </c>
      <c r="Y18" s="6" t="s">
        <v>373</v>
      </c>
      <c r="Z18" s="6" t="s">
        <v>76</v>
      </c>
      <c r="AA18" s="14">
        <v>45351</v>
      </c>
      <c r="AB18" s="83">
        <f>37+4/7</f>
        <v>37.571428571428569</v>
      </c>
      <c r="AC18" s="6" t="s">
        <v>84</v>
      </c>
      <c r="AD18" s="129" t="s">
        <v>650</v>
      </c>
      <c r="AE18" s="44">
        <f t="shared" si="1"/>
        <v>22</v>
      </c>
      <c r="AF18" s="6">
        <v>1</v>
      </c>
      <c r="AG18" s="27" t="s">
        <v>505</v>
      </c>
      <c r="AH18" s="6" t="s">
        <v>84</v>
      </c>
      <c r="AI18" s="27" t="s">
        <v>559</v>
      </c>
      <c r="AJ18" s="6" t="s">
        <v>82</v>
      </c>
      <c r="AK18" s="6" t="s">
        <v>83</v>
      </c>
      <c r="AL18" s="6" t="s">
        <v>84</v>
      </c>
      <c r="AM18" s="83">
        <f>37+4/7</f>
        <v>37.571428571428569</v>
      </c>
      <c r="AN18" s="27" t="s">
        <v>506</v>
      </c>
      <c r="AO18" s="159">
        <v>0</v>
      </c>
      <c r="AQ18" s="109" t="s">
        <v>84</v>
      </c>
      <c r="AR18" s="110">
        <v>2</v>
      </c>
      <c r="BE18" s="136" t="s">
        <v>711</v>
      </c>
      <c r="BF18" s="116"/>
      <c r="BG18" s="116"/>
      <c r="BH18" s="137" t="s">
        <v>712</v>
      </c>
      <c r="BJ18" s="133" t="s">
        <v>721</v>
      </c>
    </row>
    <row r="19" spans="1:65" ht="45.75" thickBot="1" x14ac:dyDescent="0.3">
      <c r="A19" s="57">
        <v>460987</v>
      </c>
      <c r="B19" s="58" t="s">
        <v>23</v>
      </c>
      <c r="C19" s="6" t="s">
        <v>39</v>
      </c>
      <c r="D19" s="14">
        <v>45249</v>
      </c>
      <c r="E19" s="14">
        <v>45434</v>
      </c>
      <c r="F19" s="6" t="s">
        <v>77</v>
      </c>
      <c r="G19" s="14">
        <v>30494</v>
      </c>
      <c r="H19" s="44">
        <f t="shared" ref="H19:H60" si="2">DATEDIF(G19,D19,"Y")</f>
        <v>40</v>
      </c>
      <c r="I19" s="6">
        <v>6</v>
      </c>
      <c r="J19" s="6">
        <v>37</v>
      </c>
      <c r="K19" s="6" t="s">
        <v>30</v>
      </c>
      <c r="L19" s="6" t="s">
        <v>78</v>
      </c>
      <c r="M19" s="6" t="s">
        <v>4</v>
      </c>
      <c r="N19" s="6"/>
      <c r="O19" s="6" t="s">
        <v>480</v>
      </c>
      <c r="P19" s="83">
        <f>28+3/7</f>
        <v>28.428571428571427</v>
      </c>
      <c r="Q19" s="6">
        <v>2</v>
      </c>
      <c r="R19" s="6">
        <v>0</v>
      </c>
      <c r="S19" s="6">
        <v>1</v>
      </c>
      <c r="T19" s="6" t="s">
        <v>80</v>
      </c>
      <c r="U19" s="6" t="s">
        <v>95</v>
      </c>
      <c r="V19" s="6" t="s">
        <v>78</v>
      </c>
      <c r="W19" s="6" t="s">
        <v>559</v>
      </c>
      <c r="X19" s="6" t="s">
        <v>82</v>
      </c>
      <c r="Y19" s="6" t="s">
        <v>373</v>
      </c>
      <c r="Z19" s="6" t="s">
        <v>39</v>
      </c>
      <c r="AA19" s="14">
        <v>45500</v>
      </c>
      <c r="AB19" s="83">
        <f>37+6/7</f>
        <v>37.857142857142854</v>
      </c>
      <c r="AC19" s="6"/>
      <c r="AD19" s="6" t="s">
        <v>134</v>
      </c>
      <c r="AE19" s="44">
        <f t="shared" si="1"/>
        <v>66</v>
      </c>
      <c r="AF19" s="6">
        <v>1</v>
      </c>
      <c r="AG19" s="27" t="s">
        <v>482</v>
      </c>
      <c r="AH19" s="6" t="s">
        <v>80</v>
      </c>
      <c r="AI19" s="27" t="s">
        <v>559</v>
      </c>
      <c r="AJ19" s="6" t="s">
        <v>82</v>
      </c>
      <c r="AK19" s="6" t="s">
        <v>373</v>
      </c>
      <c r="AL19" s="6" t="s">
        <v>134</v>
      </c>
      <c r="AM19" s="83">
        <f>37+6/7</f>
        <v>37.857142857142854</v>
      </c>
      <c r="AN19" s="6"/>
      <c r="AO19" s="159">
        <v>0</v>
      </c>
      <c r="AQ19" s="111" t="s">
        <v>604</v>
      </c>
      <c r="AR19" s="112">
        <v>1</v>
      </c>
      <c r="AU19" s="54"/>
      <c r="BE19" s="133" t="s">
        <v>705</v>
      </c>
      <c r="BF19" s="54"/>
      <c r="BG19" s="54" t="s">
        <v>708</v>
      </c>
      <c r="BH19" s="110"/>
      <c r="BJ19" s="133" t="s">
        <v>737</v>
      </c>
    </row>
    <row r="20" spans="1:65" ht="45" x14ac:dyDescent="0.25">
      <c r="A20" s="57">
        <v>407217</v>
      </c>
      <c r="B20" s="58" t="s">
        <v>23</v>
      </c>
      <c r="C20" s="6" t="s">
        <v>39</v>
      </c>
      <c r="D20" s="14">
        <v>45200</v>
      </c>
      <c r="E20" s="14">
        <v>45384</v>
      </c>
      <c r="F20" s="6" t="s">
        <v>77</v>
      </c>
      <c r="G20" s="14">
        <v>31179</v>
      </c>
      <c r="H20" s="44">
        <f t="shared" si="2"/>
        <v>38</v>
      </c>
      <c r="I20" s="6">
        <v>3</v>
      </c>
      <c r="J20" s="6">
        <v>26</v>
      </c>
      <c r="K20" s="6" t="s">
        <v>30</v>
      </c>
      <c r="L20" s="6" t="s">
        <v>176</v>
      </c>
      <c r="M20" s="6"/>
      <c r="N20" s="6" t="s">
        <v>92</v>
      </c>
      <c r="O20" s="6"/>
      <c r="P20" s="83">
        <f>28+2/7</f>
        <v>28.285714285714285</v>
      </c>
      <c r="Q20" s="6">
        <v>2</v>
      </c>
      <c r="R20" s="6">
        <v>0</v>
      </c>
      <c r="S20" s="6">
        <v>1</v>
      </c>
      <c r="T20" s="6" t="s">
        <v>80</v>
      </c>
      <c r="U20" s="6" t="s">
        <v>95</v>
      </c>
      <c r="V20" s="6" t="s">
        <v>78</v>
      </c>
      <c r="W20" s="6" t="s">
        <v>559</v>
      </c>
      <c r="X20" s="6" t="s">
        <v>82</v>
      </c>
      <c r="Y20" s="6" t="s">
        <v>373</v>
      </c>
      <c r="Z20" s="6" t="s">
        <v>39</v>
      </c>
      <c r="AA20" s="14">
        <v>45449</v>
      </c>
      <c r="AB20" s="83">
        <f>37+4/7</f>
        <v>37.571428571428569</v>
      </c>
      <c r="AC20" s="6"/>
      <c r="AD20" s="6" t="s">
        <v>207</v>
      </c>
      <c r="AE20" s="44">
        <f t="shared" si="1"/>
        <v>65</v>
      </c>
      <c r="AF20" s="6">
        <v>0</v>
      </c>
      <c r="AG20" s="6"/>
      <c r="AH20" s="6" t="s">
        <v>80</v>
      </c>
      <c r="AI20" s="6" t="s">
        <v>559</v>
      </c>
      <c r="AJ20" s="27" t="s">
        <v>449</v>
      </c>
      <c r="AK20" s="6" t="s">
        <v>373</v>
      </c>
      <c r="AL20" s="6" t="s">
        <v>207</v>
      </c>
      <c r="AM20" s="83">
        <v>38</v>
      </c>
      <c r="AN20" s="6" t="s">
        <v>176</v>
      </c>
      <c r="AO20" s="159">
        <v>3</v>
      </c>
      <c r="BE20" s="109" t="s">
        <v>706</v>
      </c>
      <c r="BF20" s="54"/>
      <c r="BG20" s="54" t="s">
        <v>709</v>
      </c>
      <c r="BH20" s="110"/>
      <c r="BJ20" s="133" t="s">
        <v>722</v>
      </c>
    </row>
    <row r="21" spans="1:65" ht="75.75" thickBot="1" x14ac:dyDescent="0.3">
      <c r="A21" s="58">
        <v>513515</v>
      </c>
      <c r="B21" s="58" t="s">
        <v>8</v>
      </c>
      <c r="C21" s="6" t="s">
        <v>76</v>
      </c>
      <c r="D21" s="14">
        <v>45111</v>
      </c>
      <c r="E21" s="14">
        <v>45316</v>
      </c>
      <c r="F21" s="6" t="s">
        <v>77</v>
      </c>
      <c r="G21" s="14">
        <v>30922</v>
      </c>
      <c r="H21" s="44">
        <f t="shared" si="2"/>
        <v>38</v>
      </c>
      <c r="I21" s="160">
        <v>1</v>
      </c>
      <c r="J21" s="6">
        <v>28</v>
      </c>
      <c r="K21" s="6" t="s">
        <v>30</v>
      </c>
      <c r="L21" s="6" t="s">
        <v>78</v>
      </c>
      <c r="M21" s="27" t="s">
        <v>76</v>
      </c>
      <c r="N21" s="27" t="s">
        <v>181</v>
      </c>
      <c r="O21" s="27"/>
      <c r="P21" s="83">
        <f>29+3/7</f>
        <v>29.428571428571427</v>
      </c>
      <c r="Q21" s="6">
        <v>2</v>
      </c>
      <c r="R21" s="6">
        <v>0</v>
      </c>
      <c r="S21" s="6">
        <v>1</v>
      </c>
      <c r="T21" s="6" t="s">
        <v>80</v>
      </c>
      <c r="U21" s="6" t="s">
        <v>165</v>
      </c>
      <c r="V21" s="6" t="s">
        <v>78</v>
      </c>
      <c r="W21" s="6" t="s">
        <v>559</v>
      </c>
      <c r="X21" s="6" t="s">
        <v>82</v>
      </c>
      <c r="Y21" s="6" t="s">
        <v>351</v>
      </c>
      <c r="Z21" s="6" t="s">
        <v>76</v>
      </c>
      <c r="AA21" s="14">
        <v>45381</v>
      </c>
      <c r="AB21" s="83">
        <f>37+6/7</f>
        <v>37.857142857142854</v>
      </c>
      <c r="AC21" s="6"/>
      <c r="AD21" s="6" t="s">
        <v>207</v>
      </c>
      <c r="AE21" s="44">
        <f t="shared" si="1"/>
        <v>65</v>
      </c>
      <c r="AF21" s="6">
        <v>2</v>
      </c>
      <c r="AG21" s="27" t="s">
        <v>349</v>
      </c>
      <c r="AH21" s="6" t="s">
        <v>80</v>
      </c>
      <c r="AI21" s="27" t="s">
        <v>558</v>
      </c>
      <c r="AJ21" s="6" t="s">
        <v>82</v>
      </c>
      <c r="AK21" s="6" t="s">
        <v>351</v>
      </c>
      <c r="AL21" s="6" t="s">
        <v>207</v>
      </c>
      <c r="AM21" s="83">
        <v>38</v>
      </c>
      <c r="AN21" s="6" t="s">
        <v>346</v>
      </c>
      <c r="AO21" s="159">
        <v>1</v>
      </c>
      <c r="AQ21" s="105" t="s">
        <v>631</v>
      </c>
      <c r="AY21">
        <f>7*100/13</f>
        <v>53.846153846153847</v>
      </c>
      <c r="BE21" s="111" t="s">
        <v>707</v>
      </c>
      <c r="BF21" s="119"/>
      <c r="BG21" s="119" t="s">
        <v>710</v>
      </c>
      <c r="BH21" s="112"/>
      <c r="BJ21" s="133" t="s">
        <v>723</v>
      </c>
    </row>
    <row r="22" spans="1:65" ht="45.75" thickBot="1" x14ac:dyDescent="0.3">
      <c r="A22" s="57">
        <v>517489</v>
      </c>
      <c r="B22" s="58" t="s">
        <v>23</v>
      </c>
      <c r="C22" s="6" t="s">
        <v>39</v>
      </c>
      <c r="D22" s="14">
        <v>45289</v>
      </c>
      <c r="E22" s="14">
        <v>45484</v>
      </c>
      <c r="F22" s="6" t="s">
        <v>78</v>
      </c>
      <c r="G22" s="14">
        <v>31058</v>
      </c>
      <c r="H22" s="44">
        <f t="shared" si="2"/>
        <v>38</v>
      </c>
      <c r="I22" s="6">
        <v>4</v>
      </c>
      <c r="J22" s="6">
        <v>38</v>
      </c>
      <c r="K22" s="6" t="s">
        <v>30</v>
      </c>
      <c r="L22" s="6" t="s">
        <v>78</v>
      </c>
      <c r="M22" s="6"/>
      <c r="N22" s="6" t="s">
        <v>92</v>
      </c>
      <c r="O22" s="6"/>
      <c r="P22" s="83">
        <f>29+5/7</f>
        <v>29.714285714285715</v>
      </c>
      <c r="Q22" s="6">
        <v>2</v>
      </c>
      <c r="R22" s="6">
        <v>0</v>
      </c>
      <c r="S22" s="6">
        <v>1</v>
      </c>
      <c r="T22" s="6" t="s">
        <v>80</v>
      </c>
      <c r="U22" s="6" t="s">
        <v>95</v>
      </c>
      <c r="V22" s="6" t="s">
        <v>78</v>
      </c>
      <c r="W22" s="6" t="s">
        <v>559</v>
      </c>
      <c r="X22" s="6" t="s">
        <v>82</v>
      </c>
      <c r="Y22" s="6" t="s">
        <v>373</v>
      </c>
      <c r="Z22" s="6" t="s">
        <v>39</v>
      </c>
      <c r="AA22" s="14">
        <v>45540</v>
      </c>
      <c r="AB22" s="83">
        <f>37+6/7</f>
        <v>37.857142857142854</v>
      </c>
      <c r="AC22" s="6"/>
      <c r="AD22" s="6" t="s">
        <v>207</v>
      </c>
      <c r="AE22" s="44">
        <f t="shared" si="1"/>
        <v>56</v>
      </c>
      <c r="AF22" s="6">
        <v>0</v>
      </c>
      <c r="AG22" s="6"/>
      <c r="AH22" s="6" t="s">
        <v>71</v>
      </c>
      <c r="AI22" s="6" t="s">
        <v>559</v>
      </c>
      <c r="AJ22" s="27" t="s">
        <v>490</v>
      </c>
      <c r="AK22" s="6" t="s">
        <v>373</v>
      </c>
      <c r="AL22" s="6" t="s">
        <v>207</v>
      </c>
      <c r="AM22" s="83">
        <v>38</v>
      </c>
      <c r="AN22" s="27" t="s">
        <v>489</v>
      </c>
      <c r="AO22" s="159">
        <v>1</v>
      </c>
      <c r="AQ22" s="107" t="s">
        <v>627</v>
      </c>
      <c r="AR22" s="116" t="s">
        <v>607</v>
      </c>
      <c r="AS22" s="116"/>
      <c r="AT22" s="108"/>
      <c r="AU22" s="54"/>
      <c r="BE22" s="133" t="s">
        <v>713</v>
      </c>
      <c r="BJ22" s="133" t="s">
        <v>724</v>
      </c>
    </row>
    <row r="23" spans="1:65" ht="45" x14ac:dyDescent="0.25">
      <c r="A23" s="57">
        <v>432835</v>
      </c>
      <c r="B23" s="58" t="s">
        <v>23</v>
      </c>
      <c r="C23" s="6" t="s">
        <v>39</v>
      </c>
      <c r="D23" s="14">
        <v>45266</v>
      </c>
      <c r="E23" s="14">
        <v>45449</v>
      </c>
      <c r="F23" s="6" t="s">
        <v>77</v>
      </c>
      <c r="G23" s="14">
        <v>32186</v>
      </c>
      <c r="H23" s="44">
        <f t="shared" si="2"/>
        <v>35</v>
      </c>
      <c r="I23" s="6">
        <v>2</v>
      </c>
      <c r="J23" s="6">
        <v>33</v>
      </c>
      <c r="K23" s="6" t="s">
        <v>30</v>
      </c>
      <c r="L23" s="6" t="s">
        <v>78</v>
      </c>
      <c r="M23" s="27" t="s">
        <v>543</v>
      </c>
      <c r="N23" s="6" t="s">
        <v>154</v>
      </c>
      <c r="O23" s="6"/>
      <c r="P23" s="83">
        <f>28+1/7</f>
        <v>28.142857142857142</v>
      </c>
      <c r="Q23" s="6">
        <v>2</v>
      </c>
      <c r="R23" s="6">
        <v>0</v>
      </c>
      <c r="S23" s="6">
        <v>1</v>
      </c>
      <c r="T23" s="6" t="s">
        <v>80</v>
      </c>
      <c r="U23" s="6" t="s">
        <v>95</v>
      </c>
      <c r="V23" s="6" t="s">
        <v>78</v>
      </c>
      <c r="W23" s="27" t="s">
        <v>558</v>
      </c>
      <c r="X23" s="6" t="s">
        <v>82</v>
      </c>
      <c r="Y23" s="6" t="s">
        <v>373</v>
      </c>
      <c r="Z23" s="6" t="s">
        <v>39</v>
      </c>
      <c r="AA23" s="14">
        <v>45518</v>
      </c>
      <c r="AB23" s="83">
        <f>38</f>
        <v>38</v>
      </c>
      <c r="AC23" s="6"/>
      <c r="AD23" s="6" t="s">
        <v>207</v>
      </c>
      <c r="AE23" s="44">
        <f t="shared" si="1"/>
        <v>69</v>
      </c>
      <c r="AF23" s="6">
        <v>0</v>
      </c>
      <c r="AG23" s="6"/>
      <c r="AH23" s="6" t="s">
        <v>80</v>
      </c>
      <c r="AI23" s="27" t="s">
        <v>558</v>
      </c>
      <c r="AJ23" s="6" t="s">
        <v>82</v>
      </c>
      <c r="AK23" s="6" t="s">
        <v>373</v>
      </c>
      <c r="AL23" s="6" t="s">
        <v>207</v>
      </c>
      <c r="AM23" s="83">
        <f>38+2/7</f>
        <v>38.285714285714285</v>
      </c>
      <c r="AN23" s="27" t="s">
        <v>448</v>
      </c>
      <c r="AO23" s="159">
        <v>2</v>
      </c>
      <c r="AQ23" s="117" t="s">
        <v>605</v>
      </c>
      <c r="AR23" s="54" t="s">
        <v>628</v>
      </c>
      <c r="AS23" s="54"/>
      <c r="AT23" s="110"/>
      <c r="BE23" s="133" t="s">
        <v>725</v>
      </c>
    </row>
    <row r="24" spans="1:65" ht="15.75" thickBot="1" x14ac:dyDescent="0.3">
      <c r="A24" s="60">
        <v>472809</v>
      </c>
      <c r="B24" s="6" t="s">
        <v>7</v>
      </c>
      <c r="C24" s="27" t="s">
        <v>5</v>
      </c>
      <c r="D24" s="14">
        <v>45344</v>
      </c>
      <c r="E24" s="14">
        <v>45546</v>
      </c>
      <c r="F24" s="6" t="s">
        <v>77</v>
      </c>
      <c r="G24" s="14">
        <v>31729</v>
      </c>
      <c r="H24" s="44">
        <f t="shared" si="2"/>
        <v>37</v>
      </c>
      <c r="I24" s="6">
        <v>4</v>
      </c>
      <c r="J24" s="6">
        <v>37</v>
      </c>
      <c r="K24" s="6" t="s">
        <v>30</v>
      </c>
      <c r="L24" s="6" t="s">
        <v>78</v>
      </c>
      <c r="M24" s="27"/>
      <c r="N24" s="6" t="s">
        <v>181</v>
      </c>
      <c r="O24" s="6"/>
      <c r="P24" s="83">
        <f>30+6/7</f>
        <v>30.857142857142858</v>
      </c>
      <c r="Q24" s="6">
        <v>2</v>
      </c>
      <c r="R24" s="6">
        <v>1</v>
      </c>
      <c r="S24" s="6">
        <v>0.5</v>
      </c>
      <c r="T24" s="6" t="s">
        <v>80</v>
      </c>
      <c r="U24" s="6" t="s">
        <v>95</v>
      </c>
      <c r="V24" s="6" t="s">
        <v>78</v>
      </c>
      <c r="W24" s="6" t="s">
        <v>559</v>
      </c>
      <c r="X24" s="6" t="s">
        <v>82</v>
      </c>
      <c r="Y24" s="6" t="s">
        <v>373</v>
      </c>
      <c r="Z24" s="27" t="s">
        <v>5</v>
      </c>
      <c r="AA24" s="14">
        <v>45595</v>
      </c>
      <c r="AB24" s="83">
        <f>37+6/7</f>
        <v>37.857142857142854</v>
      </c>
      <c r="AC24" s="6"/>
      <c r="AD24" s="6" t="s">
        <v>207</v>
      </c>
      <c r="AE24" s="44">
        <f t="shared" si="1"/>
        <v>49</v>
      </c>
      <c r="AF24" s="44">
        <v>0</v>
      </c>
      <c r="AG24" s="6"/>
      <c r="AH24" s="6" t="s">
        <v>80</v>
      </c>
      <c r="AI24" s="6" t="s">
        <v>559</v>
      </c>
      <c r="AJ24" s="6" t="s">
        <v>82</v>
      </c>
      <c r="AK24" s="6" t="s">
        <v>83</v>
      </c>
      <c r="AL24" s="6" t="s">
        <v>207</v>
      </c>
      <c r="AM24" s="83">
        <f>38+2/7</f>
        <v>38.285714285714285</v>
      </c>
      <c r="AN24" s="6" t="s">
        <v>312</v>
      </c>
      <c r="AO24" s="159">
        <v>3</v>
      </c>
      <c r="AQ24" s="118" t="s">
        <v>606</v>
      </c>
      <c r="AR24" s="119" t="s">
        <v>629</v>
      </c>
      <c r="AS24" s="119"/>
      <c r="AT24" s="112"/>
    </row>
    <row r="25" spans="1:65" ht="45" x14ac:dyDescent="0.25">
      <c r="A25" s="64">
        <v>520476</v>
      </c>
      <c r="B25" s="6" t="s">
        <v>7</v>
      </c>
      <c r="C25" s="27" t="s">
        <v>39</v>
      </c>
      <c r="D25" s="14">
        <v>45201</v>
      </c>
      <c r="E25" s="14">
        <v>45436</v>
      </c>
      <c r="F25" s="6" t="s">
        <v>77</v>
      </c>
      <c r="G25" s="14">
        <v>30532</v>
      </c>
      <c r="H25" s="44">
        <f t="shared" si="2"/>
        <v>40</v>
      </c>
      <c r="I25" s="6">
        <v>4</v>
      </c>
      <c r="J25" s="6">
        <v>43</v>
      </c>
      <c r="K25" s="6" t="s">
        <v>30</v>
      </c>
      <c r="L25" s="6" t="s">
        <v>78</v>
      </c>
      <c r="M25" s="27"/>
      <c r="N25" s="6" t="s">
        <v>181</v>
      </c>
      <c r="O25" s="6"/>
      <c r="P25" s="83">
        <f>35+4/7</f>
        <v>35.571428571428569</v>
      </c>
      <c r="Q25" s="6">
        <v>2</v>
      </c>
      <c r="R25" s="6">
        <v>1</v>
      </c>
      <c r="S25" s="6">
        <v>0.25</v>
      </c>
      <c r="T25" s="6" t="s">
        <v>71</v>
      </c>
      <c r="U25" s="27" t="s">
        <v>557</v>
      </c>
      <c r="V25" s="6" t="s">
        <v>78</v>
      </c>
      <c r="W25" s="6" t="s">
        <v>110</v>
      </c>
      <c r="X25" s="6" t="s">
        <v>82</v>
      </c>
      <c r="Y25" s="6" t="s">
        <v>373</v>
      </c>
      <c r="Z25" s="6" t="s">
        <v>39</v>
      </c>
      <c r="AA25" s="14">
        <v>45465</v>
      </c>
      <c r="AB25" s="83">
        <f>38+2/7</f>
        <v>38.285714285714285</v>
      </c>
      <c r="AC25" s="6"/>
      <c r="AD25" s="6" t="s">
        <v>553</v>
      </c>
      <c r="AE25" s="44">
        <f t="shared" si="1"/>
        <v>29</v>
      </c>
      <c r="AF25" s="44">
        <v>0</v>
      </c>
      <c r="AG25" s="6"/>
      <c r="AH25" s="6" t="s">
        <v>71</v>
      </c>
      <c r="AI25" s="6" t="s">
        <v>110</v>
      </c>
      <c r="AJ25" s="6" t="s">
        <v>82</v>
      </c>
      <c r="AK25" s="6" t="s">
        <v>83</v>
      </c>
      <c r="AL25" s="6" t="s">
        <v>134</v>
      </c>
      <c r="AM25" s="83">
        <f>38+2/7</f>
        <v>38.285714285714285</v>
      </c>
      <c r="AN25" s="6"/>
      <c r="AO25" s="159">
        <v>0</v>
      </c>
    </row>
    <row r="26" spans="1:65" ht="30.75" thickBot="1" x14ac:dyDescent="0.3">
      <c r="A26" s="62">
        <v>513523</v>
      </c>
      <c r="B26" s="58" t="s">
        <v>23</v>
      </c>
      <c r="C26" s="27" t="s">
        <v>76</v>
      </c>
      <c r="D26" s="14">
        <v>45171</v>
      </c>
      <c r="E26" s="14">
        <v>45412</v>
      </c>
      <c r="F26" s="6" t="s">
        <v>77</v>
      </c>
      <c r="G26" s="14">
        <v>29756</v>
      </c>
      <c r="H26" s="44">
        <f t="shared" si="2"/>
        <v>42</v>
      </c>
      <c r="I26" s="6">
        <v>2</v>
      </c>
      <c r="J26" s="6">
        <v>30</v>
      </c>
      <c r="K26" s="6" t="s">
        <v>30</v>
      </c>
      <c r="L26" s="6" t="s">
        <v>78</v>
      </c>
      <c r="M26" s="6"/>
      <c r="N26" s="6" t="s">
        <v>92</v>
      </c>
      <c r="O26" s="6"/>
      <c r="P26" s="83">
        <f>36+3/7</f>
        <v>36.428571428571431</v>
      </c>
      <c r="Q26" s="6">
        <v>2</v>
      </c>
      <c r="R26" s="6">
        <v>0</v>
      </c>
      <c r="S26" s="6">
        <v>1</v>
      </c>
      <c r="T26" s="6" t="s">
        <v>80</v>
      </c>
      <c r="U26" s="6" t="s">
        <v>165</v>
      </c>
      <c r="V26" s="6" t="s">
        <v>78</v>
      </c>
      <c r="W26" s="6" t="s">
        <v>559</v>
      </c>
      <c r="X26" s="6" t="s">
        <v>82</v>
      </c>
      <c r="Y26" s="6" t="s">
        <v>373</v>
      </c>
      <c r="Z26" s="6" t="s">
        <v>76</v>
      </c>
      <c r="AA26" s="14">
        <v>45426</v>
      </c>
      <c r="AB26" s="83">
        <f>38+3/7</f>
        <v>38.428571428571431</v>
      </c>
      <c r="AC26" s="6"/>
      <c r="AD26" s="129" t="s">
        <v>569</v>
      </c>
      <c r="AE26" s="44">
        <f t="shared" si="1"/>
        <v>14</v>
      </c>
      <c r="AF26" s="6">
        <v>1</v>
      </c>
      <c r="AG26" s="27" t="s">
        <v>400</v>
      </c>
      <c r="AH26" s="6" t="s">
        <v>80</v>
      </c>
      <c r="AI26" s="27" t="s">
        <v>559</v>
      </c>
      <c r="AJ26" s="6" t="s">
        <v>82</v>
      </c>
      <c r="AK26" s="6" t="s">
        <v>373</v>
      </c>
      <c r="AL26" s="6" t="s">
        <v>260</v>
      </c>
      <c r="AM26" s="83">
        <f t="shared" ref="AM26:AM31" si="3">38+3/7</f>
        <v>38.428571428571431</v>
      </c>
      <c r="AN26" s="6" t="s">
        <v>260</v>
      </c>
      <c r="AO26" s="159">
        <v>0</v>
      </c>
      <c r="AQ26" s="54"/>
      <c r="AR26" s="54"/>
      <c r="AT26" s="54"/>
      <c r="AU26" s="54"/>
    </row>
    <row r="27" spans="1:65" x14ac:dyDescent="0.25">
      <c r="A27" s="57">
        <v>518701</v>
      </c>
      <c r="B27" s="58" t="s">
        <v>23</v>
      </c>
      <c r="C27" s="27" t="s">
        <v>39</v>
      </c>
      <c r="D27" s="14">
        <v>45263</v>
      </c>
      <c r="E27" s="14">
        <v>45450</v>
      </c>
      <c r="F27" s="6" t="s">
        <v>77</v>
      </c>
      <c r="G27" s="14">
        <v>29768</v>
      </c>
      <c r="H27" s="44">
        <f t="shared" si="2"/>
        <v>42</v>
      </c>
      <c r="I27" s="6">
        <v>0</v>
      </c>
      <c r="J27" s="6">
        <v>30</v>
      </c>
      <c r="K27" s="6" t="s">
        <v>135</v>
      </c>
      <c r="L27" s="6" t="s">
        <v>78</v>
      </c>
      <c r="M27" s="6"/>
      <c r="N27" s="6" t="s">
        <v>181</v>
      </c>
      <c r="O27" s="6"/>
      <c r="P27" s="83">
        <f>28+5/7</f>
        <v>28.714285714285715</v>
      </c>
      <c r="Q27" s="6">
        <v>2</v>
      </c>
      <c r="R27" s="6">
        <v>0</v>
      </c>
      <c r="S27" s="6">
        <v>1</v>
      </c>
      <c r="T27" s="6" t="s">
        <v>80</v>
      </c>
      <c r="U27" s="6" t="s">
        <v>95</v>
      </c>
      <c r="V27" s="6" t="s">
        <v>78</v>
      </c>
      <c r="W27" s="27" t="s">
        <v>558</v>
      </c>
      <c r="X27" s="6" t="s">
        <v>82</v>
      </c>
      <c r="Y27" s="6" t="s">
        <v>373</v>
      </c>
      <c r="Z27" s="6" t="s">
        <v>39</v>
      </c>
      <c r="AA27" s="14">
        <v>45517</v>
      </c>
      <c r="AB27" s="83">
        <f>38+2/7</f>
        <v>38.285714285714285</v>
      </c>
      <c r="AC27" s="6"/>
      <c r="AD27" s="6" t="s">
        <v>134</v>
      </c>
      <c r="AE27" s="44">
        <f t="shared" si="1"/>
        <v>67</v>
      </c>
      <c r="AF27" s="6">
        <v>0</v>
      </c>
      <c r="AG27" s="6"/>
      <c r="AH27" s="6" t="s">
        <v>80</v>
      </c>
      <c r="AI27" s="27" t="s">
        <v>558</v>
      </c>
      <c r="AJ27" s="6" t="s">
        <v>82</v>
      </c>
      <c r="AK27" s="6" t="s">
        <v>373</v>
      </c>
      <c r="AL27" s="6" t="s">
        <v>134</v>
      </c>
      <c r="AM27" s="83">
        <f t="shared" si="3"/>
        <v>38.428571428571431</v>
      </c>
      <c r="AN27" s="6"/>
      <c r="AO27" s="159">
        <v>1</v>
      </c>
      <c r="AQ27" s="107"/>
      <c r="AR27" s="123" t="s">
        <v>25</v>
      </c>
      <c r="AS27" s="124" t="s">
        <v>607</v>
      </c>
      <c r="AT27" s="54"/>
      <c r="AU27" s="54"/>
    </row>
    <row r="28" spans="1:65" x14ac:dyDescent="0.25">
      <c r="A28" s="60">
        <v>492686</v>
      </c>
      <c r="B28" s="6" t="s">
        <v>7</v>
      </c>
      <c r="C28" s="6" t="s">
        <v>5</v>
      </c>
      <c r="D28" s="14">
        <v>45269</v>
      </c>
      <c r="E28" s="14">
        <v>45467</v>
      </c>
      <c r="F28" s="6" t="s">
        <v>77</v>
      </c>
      <c r="G28" s="14">
        <v>33111</v>
      </c>
      <c r="H28" s="44">
        <f t="shared" si="2"/>
        <v>33</v>
      </c>
      <c r="I28" s="6">
        <v>1</v>
      </c>
      <c r="J28" s="6">
        <v>32</v>
      </c>
      <c r="K28" s="6" t="s">
        <v>135</v>
      </c>
      <c r="L28" s="6" t="s">
        <v>78</v>
      </c>
      <c r="M28" s="27" t="s">
        <v>4</v>
      </c>
      <c r="N28" s="6" t="s">
        <v>92</v>
      </c>
      <c r="O28" s="6"/>
      <c r="P28" s="83">
        <f>29+6/7</f>
        <v>29.857142857142858</v>
      </c>
      <c r="Q28" s="6">
        <v>2</v>
      </c>
      <c r="R28" s="6">
        <v>1</v>
      </c>
      <c r="S28" s="6">
        <v>0.5</v>
      </c>
      <c r="T28" s="6" t="s">
        <v>80</v>
      </c>
      <c r="U28" s="6" t="s">
        <v>95</v>
      </c>
      <c r="V28" s="6" t="s">
        <v>78</v>
      </c>
      <c r="W28" s="27" t="s">
        <v>558</v>
      </c>
      <c r="X28" s="6" t="s">
        <v>82</v>
      </c>
      <c r="Y28" s="6" t="s">
        <v>373</v>
      </c>
      <c r="Z28" s="6" t="s">
        <v>5</v>
      </c>
      <c r="AA28" s="14">
        <v>45523</v>
      </c>
      <c r="AB28" s="83">
        <f>38+2/7</f>
        <v>38.285714285714285</v>
      </c>
      <c r="AC28" s="6"/>
      <c r="AD28" s="6" t="s">
        <v>207</v>
      </c>
      <c r="AE28" s="44">
        <f t="shared" si="1"/>
        <v>56</v>
      </c>
      <c r="AF28" s="44">
        <v>0</v>
      </c>
      <c r="AG28" s="6"/>
      <c r="AH28" s="6" t="s">
        <v>80</v>
      </c>
      <c r="AI28" s="27" t="s">
        <v>558</v>
      </c>
      <c r="AJ28" s="6" t="s">
        <v>82</v>
      </c>
      <c r="AK28" s="6" t="s">
        <v>83</v>
      </c>
      <c r="AL28" s="6" t="s">
        <v>207</v>
      </c>
      <c r="AM28" s="83">
        <f t="shared" si="3"/>
        <v>38.428571428571431</v>
      </c>
      <c r="AN28" s="6" t="s">
        <v>4</v>
      </c>
      <c r="AO28" s="159">
        <v>1</v>
      </c>
      <c r="AQ28" s="109" t="s">
        <v>84</v>
      </c>
      <c r="AR28" s="54">
        <v>2</v>
      </c>
      <c r="AS28" s="110">
        <v>10</v>
      </c>
      <c r="AT28" s="54"/>
      <c r="AU28" s="54"/>
    </row>
    <row r="29" spans="1:65" ht="15.75" thickBot="1" x14ac:dyDescent="0.3">
      <c r="A29" s="60">
        <v>525863</v>
      </c>
      <c r="B29" s="6" t="s">
        <v>7</v>
      </c>
      <c r="C29" s="27" t="s">
        <v>5</v>
      </c>
      <c r="D29" s="14">
        <v>45342</v>
      </c>
      <c r="E29" s="14">
        <v>45555</v>
      </c>
      <c r="F29" s="6" t="s">
        <v>77</v>
      </c>
      <c r="G29" s="14">
        <v>30887</v>
      </c>
      <c r="H29" s="44">
        <f t="shared" si="2"/>
        <v>39</v>
      </c>
      <c r="I29" s="6">
        <v>1</v>
      </c>
      <c r="J29" s="6">
        <v>38</v>
      </c>
      <c r="K29" s="6" t="s">
        <v>30</v>
      </c>
      <c r="L29" s="6" t="s">
        <v>78</v>
      </c>
      <c r="M29" s="27"/>
      <c r="N29" s="6" t="s">
        <v>181</v>
      </c>
      <c r="O29" s="6"/>
      <c r="P29" s="83">
        <f>32+3/7</f>
        <v>32.428571428571431</v>
      </c>
      <c r="Q29" s="6">
        <v>2</v>
      </c>
      <c r="R29" s="6">
        <v>1</v>
      </c>
      <c r="S29" s="6">
        <v>0.25</v>
      </c>
      <c r="T29" s="6" t="s">
        <v>80</v>
      </c>
      <c r="U29" s="6" t="s">
        <v>95</v>
      </c>
      <c r="V29" s="6" t="s">
        <v>78</v>
      </c>
      <c r="W29" s="6" t="s">
        <v>559</v>
      </c>
      <c r="X29" s="6" t="s">
        <v>82</v>
      </c>
      <c r="Y29" s="6" t="s">
        <v>373</v>
      </c>
      <c r="Z29" s="27" t="s">
        <v>5</v>
      </c>
      <c r="AA29" s="14">
        <v>45595</v>
      </c>
      <c r="AB29" s="83">
        <f>38+2/7</f>
        <v>38.285714285714285</v>
      </c>
      <c r="AC29" s="6"/>
      <c r="AD29" s="6" t="s">
        <v>207</v>
      </c>
      <c r="AE29" s="44">
        <f t="shared" si="1"/>
        <v>40</v>
      </c>
      <c r="AF29" s="44">
        <v>0</v>
      </c>
      <c r="AG29" s="6"/>
      <c r="AH29" s="6" t="s">
        <v>80</v>
      </c>
      <c r="AI29" s="6" t="s">
        <v>559</v>
      </c>
      <c r="AJ29" s="6"/>
      <c r="AK29" s="6" t="s">
        <v>83</v>
      </c>
      <c r="AL29" s="6" t="s">
        <v>207</v>
      </c>
      <c r="AM29" s="83">
        <f t="shared" si="3"/>
        <v>38.428571428571431</v>
      </c>
      <c r="AN29" s="6" t="s">
        <v>312</v>
      </c>
      <c r="AO29" s="159">
        <v>2</v>
      </c>
      <c r="AQ29" s="111" t="s">
        <v>71</v>
      </c>
      <c r="AR29" s="119">
        <v>5</v>
      </c>
      <c r="AS29" s="112">
        <v>7</v>
      </c>
      <c r="AT29" s="54"/>
      <c r="AU29" s="54"/>
    </row>
    <row r="30" spans="1:65" ht="15.75" thickBot="1" x14ac:dyDescent="0.3">
      <c r="A30" s="60">
        <v>524484</v>
      </c>
      <c r="B30" s="6" t="s">
        <v>7</v>
      </c>
      <c r="C30" s="27" t="s">
        <v>76</v>
      </c>
      <c r="D30" s="14">
        <v>45319</v>
      </c>
      <c r="E30" s="14">
        <v>45533</v>
      </c>
      <c r="F30" s="6" t="s">
        <v>77</v>
      </c>
      <c r="G30" s="14">
        <v>30995</v>
      </c>
      <c r="H30" s="44">
        <f t="shared" si="2"/>
        <v>39</v>
      </c>
      <c r="I30" s="6">
        <v>2</v>
      </c>
      <c r="J30" s="6">
        <v>40</v>
      </c>
      <c r="K30" s="6" t="s">
        <v>30</v>
      </c>
      <c r="L30" s="6" t="s">
        <v>78</v>
      </c>
      <c r="M30" s="6"/>
      <c r="N30" s="6" t="s">
        <v>92</v>
      </c>
      <c r="O30" s="6"/>
      <c r="P30" s="83">
        <f>32+4/7</f>
        <v>32.571428571428569</v>
      </c>
      <c r="Q30" s="6">
        <v>2</v>
      </c>
      <c r="R30" s="6">
        <v>1</v>
      </c>
      <c r="S30" s="6">
        <v>1</v>
      </c>
      <c r="T30" s="6" t="s">
        <v>80</v>
      </c>
      <c r="U30" s="6" t="s">
        <v>165</v>
      </c>
      <c r="V30" s="6" t="s">
        <v>78</v>
      </c>
      <c r="W30" s="6" t="s">
        <v>559</v>
      </c>
      <c r="X30" s="6" t="s">
        <v>82</v>
      </c>
      <c r="Y30" s="6" t="s">
        <v>373</v>
      </c>
      <c r="Z30" s="6" t="s">
        <v>76</v>
      </c>
      <c r="AA30" s="14">
        <v>45572</v>
      </c>
      <c r="AB30" s="83">
        <f>38+1/7</f>
        <v>38.142857142857146</v>
      </c>
      <c r="AC30" s="6" t="s">
        <v>84</v>
      </c>
      <c r="AD30" s="6" t="s">
        <v>207</v>
      </c>
      <c r="AE30" s="44">
        <f t="shared" si="1"/>
        <v>39</v>
      </c>
      <c r="AF30" s="44">
        <v>0</v>
      </c>
      <c r="AG30" s="6"/>
      <c r="AH30" s="6" t="s">
        <v>84</v>
      </c>
      <c r="AI30" s="6" t="s">
        <v>559</v>
      </c>
      <c r="AJ30" s="6" t="s">
        <v>82</v>
      </c>
      <c r="AK30" s="6" t="s">
        <v>121</v>
      </c>
      <c r="AL30" s="6" t="s">
        <v>207</v>
      </c>
      <c r="AM30" s="83">
        <f t="shared" si="3"/>
        <v>38.428571428571431</v>
      </c>
      <c r="AN30" s="6" t="s">
        <v>318</v>
      </c>
      <c r="AO30" s="159">
        <v>2</v>
      </c>
      <c r="AQ30" s="54"/>
      <c r="AR30" s="54"/>
      <c r="AT30" s="54"/>
      <c r="AU30" s="54"/>
    </row>
    <row r="31" spans="1:65" ht="60" x14ac:dyDescent="0.25">
      <c r="A31" s="57">
        <v>516747</v>
      </c>
      <c r="B31" s="58" t="s">
        <v>23</v>
      </c>
      <c r="C31" s="6" t="s">
        <v>39</v>
      </c>
      <c r="D31" s="14">
        <v>45211</v>
      </c>
      <c r="E31" s="14">
        <v>45417</v>
      </c>
      <c r="F31" s="6" t="s">
        <v>77</v>
      </c>
      <c r="G31" s="14">
        <v>33454</v>
      </c>
      <c r="H31" s="44">
        <f t="shared" si="2"/>
        <v>32</v>
      </c>
      <c r="I31" s="6">
        <v>3</v>
      </c>
      <c r="J31" s="6">
        <v>48</v>
      </c>
      <c r="K31" s="6" t="s">
        <v>30</v>
      </c>
      <c r="L31" s="6" t="s">
        <v>78</v>
      </c>
      <c r="M31" s="6"/>
      <c r="N31" s="6" t="s">
        <v>154</v>
      </c>
      <c r="O31" s="6"/>
      <c r="P31" s="83">
        <f>31+3/7</f>
        <v>31.428571428571427</v>
      </c>
      <c r="Q31" s="6">
        <v>2</v>
      </c>
      <c r="R31" s="6">
        <v>0</v>
      </c>
      <c r="S31" s="6">
        <v>1</v>
      </c>
      <c r="T31" s="6" t="s">
        <v>71</v>
      </c>
      <c r="U31" s="6" t="s">
        <v>95</v>
      </c>
      <c r="V31" s="6" t="s">
        <v>78</v>
      </c>
      <c r="W31" s="6" t="s">
        <v>559</v>
      </c>
      <c r="X31" s="6" t="s">
        <v>82</v>
      </c>
      <c r="Y31" s="6" t="s">
        <v>373</v>
      </c>
      <c r="Z31" s="6" t="s">
        <v>39</v>
      </c>
      <c r="AA31" s="14">
        <v>45466</v>
      </c>
      <c r="AB31" s="83">
        <f>38+3/7</f>
        <v>38.428571428571431</v>
      </c>
      <c r="AC31" s="6"/>
      <c r="AD31" s="6" t="s">
        <v>134</v>
      </c>
      <c r="AE31" s="44">
        <f t="shared" si="1"/>
        <v>49</v>
      </c>
      <c r="AF31" s="6">
        <v>1</v>
      </c>
      <c r="AG31" s="27" t="s">
        <v>406</v>
      </c>
      <c r="AH31" s="6" t="s">
        <v>71</v>
      </c>
      <c r="AI31" s="6" t="s">
        <v>559</v>
      </c>
      <c r="AJ31" s="6" t="s">
        <v>82</v>
      </c>
      <c r="AK31" s="6" t="s">
        <v>373</v>
      </c>
      <c r="AL31" s="6" t="s">
        <v>134</v>
      </c>
      <c r="AM31" s="83">
        <f t="shared" si="3"/>
        <v>38.428571428571431</v>
      </c>
      <c r="AN31" s="6"/>
      <c r="AO31" s="159">
        <v>0</v>
      </c>
      <c r="AQ31" s="120" t="s">
        <v>608</v>
      </c>
      <c r="AR31" s="116" t="s">
        <v>609</v>
      </c>
      <c r="AS31" s="108" t="s">
        <v>610</v>
      </c>
      <c r="AT31" s="54"/>
      <c r="AU31" s="54"/>
      <c r="AY31" s="141" t="s">
        <v>657</v>
      </c>
      <c r="AZ31" s="142"/>
      <c r="BB31" s="120" t="s">
        <v>207</v>
      </c>
      <c r="BC31" s="108"/>
      <c r="BE31" s="120" t="s">
        <v>652</v>
      </c>
      <c r="BF31" s="116"/>
      <c r="BG31" s="116"/>
      <c r="BH31" s="108"/>
    </row>
    <row r="32" spans="1:65" ht="30.75" thickBot="1" x14ac:dyDescent="0.3">
      <c r="A32" s="57">
        <v>519003</v>
      </c>
      <c r="B32" s="58" t="s">
        <v>23</v>
      </c>
      <c r="C32" s="6" t="s">
        <v>39</v>
      </c>
      <c r="D32" s="14">
        <v>45279</v>
      </c>
      <c r="E32" s="14">
        <v>45461</v>
      </c>
      <c r="F32" s="6" t="s">
        <v>77</v>
      </c>
      <c r="G32" s="14">
        <v>35130</v>
      </c>
      <c r="H32" s="44">
        <f t="shared" si="2"/>
        <v>27</v>
      </c>
      <c r="I32" s="6">
        <v>1</v>
      </c>
      <c r="J32" s="6">
        <v>29</v>
      </c>
      <c r="K32" s="6" t="s">
        <v>30</v>
      </c>
      <c r="L32" s="6" t="s">
        <v>78</v>
      </c>
      <c r="M32" s="6"/>
      <c r="N32" s="6"/>
      <c r="O32" s="6"/>
      <c r="P32" s="83">
        <v>28</v>
      </c>
      <c r="Q32" s="6">
        <v>2</v>
      </c>
      <c r="R32" s="6">
        <v>0</v>
      </c>
      <c r="S32" s="6">
        <v>1</v>
      </c>
      <c r="T32" s="6" t="s">
        <v>80</v>
      </c>
      <c r="U32" s="6" t="s">
        <v>95</v>
      </c>
      <c r="V32" s="6" t="s">
        <v>77</v>
      </c>
      <c r="W32" s="6" t="s">
        <v>559</v>
      </c>
      <c r="X32" s="6" t="s">
        <v>82</v>
      </c>
      <c r="Y32" s="6" t="s">
        <v>373</v>
      </c>
      <c r="Z32" s="6" t="s">
        <v>39</v>
      </c>
      <c r="AA32" s="14">
        <v>45535</v>
      </c>
      <c r="AB32" s="83">
        <f>38+4/7</f>
        <v>38.571428571428569</v>
      </c>
      <c r="AC32" s="6" t="s">
        <v>84</v>
      </c>
      <c r="AD32" s="6" t="s">
        <v>134</v>
      </c>
      <c r="AE32" s="44">
        <f t="shared" si="1"/>
        <v>74</v>
      </c>
      <c r="AF32" s="6">
        <v>1</v>
      </c>
      <c r="AG32" s="27" t="s">
        <v>416</v>
      </c>
      <c r="AH32" s="6" t="s">
        <v>84</v>
      </c>
      <c r="AI32" s="27" t="s">
        <v>559</v>
      </c>
      <c r="AJ32" s="6" t="s">
        <v>82</v>
      </c>
      <c r="AK32" s="6" t="s">
        <v>373</v>
      </c>
      <c r="AL32" s="6" t="s">
        <v>134</v>
      </c>
      <c r="AM32" s="83">
        <f>38+4/7</f>
        <v>38.571428571428569</v>
      </c>
      <c r="AN32" s="6"/>
      <c r="AO32" s="159">
        <v>0</v>
      </c>
      <c r="AQ32" s="121" t="s">
        <v>611</v>
      </c>
      <c r="AR32" s="119" t="s">
        <v>612</v>
      </c>
      <c r="AS32" s="112" t="s">
        <v>613</v>
      </c>
      <c r="AY32" s="109" t="s">
        <v>641</v>
      </c>
      <c r="AZ32" s="110"/>
      <c r="BB32" s="109" t="s">
        <v>632</v>
      </c>
      <c r="BC32" s="110">
        <v>38.44</v>
      </c>
      <c r="BE32" s="109" t="s">
        <v>22</v>
      </c>
      <c r="BF32" s="54" t="s">
        <v>654</v>
      </c>
      <c r="BG32" s="54" t="s">
        <v>653</v>
      </c>
      <c r="BH32" s="110"/>
    </row>
    <row r="33" spans="1:60" ht="45.75" thickBot="1" x14ac:dyDescent="0.3">
      <c r="A33" s="62">
        <v>509863</v>
      </c>
      <c r="B33" s="58" t="s">
        <v>23</v>
      </c>
      <c r="C33" s="27" t="s">
        <v>39</v>
      </c>
      <c r="D33" s="14">
        <v>45082</v>
      </c>
      <c r="E33" s="14">
        <v>45286</v>
      </c>
      <c r="F33" s="6" t="s">
        <v>77</v>
      </c>
      <c r="G33" s="14">
        <v>32508</v>
      </c>
      <c r="H33" s="44">
        <f t="shared" si="2"/>
        <v>34</v>
      </c>
      <c r="I33" s="6">
        <v>2</v>
      </c>
      <c r="J33" s="6">
        <v>35</v>
      </c>
      <c r="K33" s="6" t="s">
        <v>30</v>
      </c>
      <c r="L33" s="6" t="s">
        <v>78</v>
      </c>
      <c r="M33" s="6"/>
      <c r="N33" s="6" t="s">
        <v>92</v>
      </c>
      <c r="O33" s="6"/>
      <c r="P33" s="83">
        <f>31+1/7</f>
        <v>31.142857142857142</v>
      </c>
      <c r="Q33" s="6">
        <v>2</v>
      </c>
      <c r="R33" s="6">
        <v>0</v>
      </c>
      <c r="S33" s="6">
        <v>1</v>
      </c>
      <c r="T33" s="6" t="s">
        <v>80</v>
      </c>
      <c r="U33" s="6" t="s">
        <v>95</v>
      </c>
      <c r="V33" s="6" t="s">
        <v>78</v>
      </c>
      <c r="W33" s="6" t="s">
        <v>559</v>
      </c>
      <c r="X33" s="6" t="s">
        <v>82</v>
      </c>
      <c r="Y33" s="6" t="s">
        <v>373</v>
      </c>
      <c r="Z33" s="6" t="s">
        <v>39</v>
      </c>
      <c r="AA33" s="14">
        <v>45335</v>
      </c>
      <c r="AB33" s="83">
        <f>38+1/7</f>
        <v>38.142857142857146</v>
      </c>
      <c r="AC33" s="6"/>
      <c r="AD33" s="129" t="s">
        <v>402</v>
      </c>
      <c r="AE33" s="44">
        <f t="shared" si="1"/>
        <v>49</v>
      </c>
      <c r="AF33" s="6">
        <v>1</v>
      </c>
      <c r="AG33" s="27" t="s">
        <v>414</v>
      </c>
      <c r="AH33" s="6" t="s">
        <v>80</v>
      </c>
      <c r="AI33" s="27" t="s">
        <v>559</v>
      </c>
      <c r="AJ33" s="6" t="s">
        <v>82</v>
      </c>
      <c r="AK33" s="6" t="s">
        <v>373</v>
      </c>
      <c r="AL33" s="6" t="s">
        <v>413</v>
      </c>
      <c r="AM33" s="83">
        <f>38+4/7</f>
        <v>38.571428571428569</v>
      </c>
      <c r="AN33" s="6" t="s">
        <v>134</v>
      </c>
      <c r="AO33" s="159">
        <v>3</v>
      </c>
      <c r="AQ33" s="122" t="s">
        <v>614</v>
      </c>
      <c r="AR33" s="114">
        <v>50.4</v>
      </c>
      <c r="AS33" s="115" t="s">
        <v>615</v>
      </c>
      <c r="AY33" s="109" t="s">
        <v>642</v>
      </c>
      <c r="AZ33" s="110"/>
      <c r="BB33" s="109" t="s">
        <v>633</v>
      </c>
      <c r="BC33" s="110" t="s">
        <v>635</v>
      </c>
      <c r="BE33" s="111" t="s">
        <v>655</v>
      </c>
      <c r="BF33" s="119">
        <v>35.729999999999997</v>
      </c>
      <c r="BG33" s="119" t="s">
        <v>656</v>
      </c>
      <c r="BH33" s="112"/>
    </row>
    <row r="34" spans="1:60" ht="90.75" thickBot="1" x14ac:dyDescent="0.3">
      <c r="A34" s="57">
        <v>509004</v>
      </c>
      <c r="B34" s="58" t="s">
        <v>8</v>
      </c>
      <c r="C34" s="6" t="s">
        <v>39</v>
      </c>
      <c r="D34" s="14">
        <v>45040</v>
      </c>
      <c r="E34" s="14">
        <v>45246</v>
      </c>
      <c r="F34" s="6" t="s">
        <v>77</v>
      </c>
      <c r="G34" s="14">
        <v>36401</v>
      </c>
      <c r="H34" s="44">
        <f t="shared" si="2"/>
        <v>23</v>
      </c>
      <c r="I34" s="6">
        <v>0</v>
      </c>
      <c r="J34" s="6">
        <v>40</v>
      </c>
      <c r="K34" s="6" t="s">
        <v>30</v>
      </c>
      <c r="L34" s="6" t="s">
        <v>78</v>
      </c>
      <c r="M34" s="6"/>
      <c r="N34" s="6" t="s">
        <v>92</v>
      </c>
      <c r="O34" s="6"/>
      <c r="P34" s="83">
        <f>31+1/7</f>
        <v>31.142857142857142</v>
      </c>
      <c r="Q34" s="6">
        <v>2</v>
      </c>
      <c r="R34" s="6">
        <v>0</v>
      </c>
      <c r="S34" s="6">
        <v>1</v>
      </c>
      <c r="T34" s="6" t="s">
        <v>80</v>
      </c>
      <c r="U34" s="6" t="s">
        <v>95</v>
      </c>
      <c r="V34" s="6" t="s">
        <v>78</v>
      </c>
      <c r="W34" s="6" t="s">
        <v>559</v>
      </c>
      <c r="X34" s="6" t="s">
        <v>82</v>
      </c>
      <c r="Y34" s="6" t="s">
        <v>351</v>
      </c>
      <c r="Z34" s="6" t="s">
        <v>39</v>
      </c>
      <c r="AA34" s="14">
        <v>45300</v>
      </c>
      <c r="AB34" s="83">
        <f>38+3/7</f>
        <v>38.428571428571431</v>
      </c>
      <c r="AC34" s="6"/>
      <c r="AD34" s="6" t="s">
        <v>367</v>
      </c>
      <c r="AE34" s="44">
        <f t="shared" ref="AE34:AE60" si="4">DATEDIF(E34,AA34,"D")</f>
        <v>54</v>
      </c>
      <c r="AF34" s="6">
        <v>0</v>
      </c>
      <c r="AG34" s="6"/>
      <c r="AH34" s="6" t="s">
        <v>71</v>
      </c>
      <c r="AI34" s="6" t="s">
        <v>559</v>
      </c>
      <c r="AJ34" s="6" t="s">
        <v>82</v>
      </c>
      <c r="AK34" s="6" t="s">
        <v>351</v>
      </c>
      <c r="AL34" s="6" t="s">
        <v>207</v>
      </c>
      <c r="AM34" s="83">
        <f>38+4/7</f>
        <v>38.571428571428569</v>
      </c>
      <c r="AN34" s="6" t="s">
        <v>368</v>
      </c>
      <c r="AO34" s="159">
        <v>1</v>
      </c>
      <c r="AQ34" s="54"/>
      <c r="AR34" s="54"/>
      <c r="AS34" s="54"/>
      <c r="AT34" s="54"/>
      <c r="AY34" s="143" t="s">
        <v>643</v>
      </c>
      <c r="AZ34" s="144" t="s">
        <v>649</v>
      </c>
      <c r="BB34" s="109" t="s">
        <v>634</v>
      </c>
      <c r="BC34" s="110"/>
    </row>
    <row r="35" spans="1:60" x14ac:dyDescent="0.25">
      <c r="A35" s="64">
        <v>518824</v>
      </c>
      <c r="B35" s="6" t="s">
        <v>7</v>
      </c>
      <c r="C35" s="27" t="s">
        <v>76</v>
      </c>
      <c r="D35" s="14">
        <v>45182</v>
      </c>
      <c r="E35" s="14">
        <v>45394</v>
      </c>
      <c r="F35" s="6" t="s">
        <v>77</v>
      </c>
      <c r="G35" s="14">
        <v>30003</v>
      </c>
      <c r="H35" s="44">
        <f t="shared" si="2"/>
        <v>41</v>
      </c>
      <c r="I35" s="6">
        <v>4</v>
      </c>
      <c r="J35" s="6">
        <v>31</v>
      </c>
      <c r="K35" s="6" t="s">
        <v>30</v>
      </c>
      <c r="L35" s="6" t="s">
        <v>78</v>
      </c>
      <c r="M35" s="6"/>
      <c r="N35" s="6" t="s">
        <v>181</v>
      </c>
      <c r="O35" s="6"/>
      <c r="P35" s="83">
        <f>32+2/7</f>
        <v>32.285714285714285</v>
      </c>
      <c r="Q35" s="6">
        <v>2</v>
      </c>
      <c r="R35" s="6">
        <v>1</v>
      </c>
      <c r="S35" s="6">
        <v>0.5</v>
      </c>
      <c r="T35" s="6" t="s">
        <v>80</v>
      </c>
      <c r="U35" s="6" t="s">
        <v>95</v>
      </c>
      <c r="V35" s="6" t="s">
        <v>78</v>
      </c>
      <c r="W35" s="6" t="s">
        <v>559</v>
      </c>
      <c r="X35" s="6" t="s">
        <v>82</v>
      </c>
      <c r="Y35" s="6" t="s">
        <v>373</v>
      </c>
      <c r="Z35" s="6" t="s">
        <v>39</v>
      </c>
      <c r="AA35" s="14">
        <v>45436</v>
      </c>
      <c r="AB35" s="83">
        <f>38+2/7</f>
        <v>38.285714285714285</v>
      </c>
      <c r="AC35" s="6"/>
      <c r="AD35" s="6" t="s">
        <v>207</v>
      </c>
      <c r="AE35" s="44">
        <f t="shared" si="4"/>
        <v>42</v>
      </c>
      <c r="AF35" s="44">
        <v>0</v>
      </c>
      <c r="AG35" s="6"/>
      <c r="AH35" s="6" t="s">
        <v>80</v>
      </c>
      <c r="AI35" s="27" t="s">
        <v>559</v>
      </c>
      <c r="AJ35" s="6" t="s">
        <v>82</v>
      </c>
      <c r="AK35" s="6" t="s">
        <v>83</v>
      </c>
      <c r="AL35" s="6" t="s">
        <v>207</v>
      </c>
      <c r="AM35" s="83">
        <f>38+5/7</f>
        <v>38.714285714285715</v>
      </c>
      <c r="AN35" s="6" t="s">
        <v>312</v>
      </c>
      <c r="AO35" s="159">
        <v>3</v>
      </c>
      <c r="AQ35" s="120" t="s">
        <v>21</v>
      </c>
      <c r="AR35" s="116"/>
      <c r="AS35" s="116"/>
      <c r="AT35" s="116"/>
      <c r="AU35" s="116"/>
      <c r="AV35" s="108"/>
      <c r="AY35" s="109" t="s">
        <v>646</v>
      </c>
      <c r="AZ35" s="110"/>
      <c r="BB35" s="109" t="s">
        <v>636</v>
      </c>
      <c r="BC35" s="110">
        <v>1</v>
      </c>
    </row>
    <row r="36" spans="1:60" x14ac:dyDescent="0.25">
      <c r="A36" s="60">
        <v>526609</v>
      </c>
      <c r="B36" s="6" t="s">
        <v>7</v>
      </c>
      <c r="C36" s="27" t="s">
        <v>5</v>
      </c>
      <c r="D36" s="14">
        <v>45355</v>
      </c>
      <c r="E36" s="14">
        <v>45560</v>
      </c>
      <c r="F36" s="6" t="s">
        <v>77</v>
      </c>
      <c r="G36" s="14">
        <v>30707</v>
      </c>
      <c r="H36" s="44">
        <f t="shared" si="2"/>
        <v>40</v>
      </c>
      <c r="I36" s="6">
        <v>0</v>
      </c>
      <c r="J36" s="6">
        <v>26</v>
      </c>
      <c r="K36" s="6" t="s">
        <v>30</v>
      </c>
      <c r="L36" s="6" t="s">
        <v>78</v>
      </c>
      <c r="M36" s="27"/>
      <c r="N36" s="6" t="s">
        <v>92</v>
      </c>
      <c r="O36" s="6"/>
      <c r="P36" s="83">
        <f>31+2/7</f>
        <v>31.285714285714285</v>
      </c>
      <c r="Q36" s="6">
        <v>2</v>
      </c>
      <c r="R36" s="6">
        <v>1</v>
      </c>
      <c r="S36" s="6">
        <v>1</v>
      </c>
      <c r="T36" s="6" t="s">
        <v>80</v>
      </c>
      <c r="U36" s="6" t="s">
        <v>95</v>
      </c>
      <c r="V36" s="6" t="s">
        <v>78</v>
      </c>
      <c r="W36" s="6" t="s">
        <v>559</v>
      </c>
      <c r="X36" s="6" t="s">
        <v>82</v>
      </c>
      <c r="Y36" s="6" t="s">
        <v>373</v>
      </c>
      <c r="Z36" s="6" t="s">
        <v>5</v>
      </c>
      <c r="AA36" s="14">
        <v>45610</v>
      </c>
      <c r="AB36" s="83">
        <f>38+3/7</f>
        <v>38.428571428571431</v>
      </c>
      <c r="AC36" s="6"/>
      <c r="AD36" s="6" t="s">
        <v>207</v>
      </c>
      <c r="AE36" s="44">
        <f t="shared" si="4"/>
        <v>50</v>
      </c>
      <c r="AF36" s="44">
        <v>0</v>
      </c>
      <c r="AG36" s="6"/>
      <c r="AH36" s="6" t="s">
        <v>80</v>
      </c>
      <c r="AI36" s="6" t="s">
        <v>559</v>
      </c>
      <c r="AJ36" s="6" t="s">
        <v>82</v>
      </c>
      <c r="AK36" s="6" t="s">
        <v>83</v>
      </c>
      <c r="AL36" s="6" t="s">
        <v>207</v>
      </c>
      <c r="AM36" s="83">
        <f>38+6/7</f>
        <v>38.857142857142854</v>
      </c>
      <c r="AN36" s="6" t="s">
        <v>39</v>
      </c>
      <c r="AO36" s="159">
        <v>3</v>
      </c>
      <c r="AQ36" s="109" t="s">
        <v>207</v>
      </c>
      <c r="AR36" s="54">
        <v>32</v>
      </c>
      <c r="AS36" s="54"/>
      <c r="AT36" s="54"/>
      <c r="AU36" s="54"/>
      <c r="AV36" s="110"/>
      <c r="AY36" s="109" t="s">
        <v>644</v>
      </c>
      <c r="AZ36" s="110"/>
      <c r="BB36" s="109" t="s">
        <v>637</v>
      </c>
      <c r="BC36" s="110">
        <v>1</v>
      </c>
    </row>
    <row r="37" spans="1:60" x14ac:dyDescent="0.25">
      <c r="A37" s="57">
        <v>509494</v>
      </c>
      <c r="B37" s="58" t="s">
        <v>8</v>
      </c>
      <c r="C37" s="6" t="s">
        <v>76</v>
      </c>
      <c r="D37" s="14">
        <v>45057</v>
      </c>
      <c r="E37" s="14">
        <v>45239</v>
      </c>
      <c r="F37" s="6" t="s">
        <v>77</v>
      </c>
      <c r="G37" s="14">
        <v>35368</v>
      </c>
      <c r="H37" s="44">
        <f t="shared" si="2"/>
        <v>26</v>
      </c>
      <c r="I37" s="6">
        <v>0</v>
      </c>
      <c r="J37" s="6">
        <v>23</v>
      </c>
      <c r="K37" s="6" t="s">
        <v>30</v>
      </c>
      <c r="L37" s="6" t="s">
        <v>78</v>
      </c>
      <c r="M37" s="6"/>
      <c r="N37" s="6" t="s">
        <v>154</v>
      </c>
      <c r="O37" s="6"/>
      <c r="P37" s="83">
        <f>29+1/7</f>
        <v>29.142857142857142</v>
      </c>
      <c r="Q37" s="6">
        <v>2</v>
      </c>
      <c r="R37" s="6">
        <v>0</v>
      </c>
      <c r="S37" s="6">
        <v>1</v>
      </c>
      <c r="T37" s="6" t="s">
        <v>80</v>
      </c>
      <c r="U37" s="6" t="s">
        <v>165</v>
      </c>
      <c r="V37" s="6" t="s">
        <v>78</v>
      </c>
      <c r="W37" s="6" t="s">
        <v>559</v>
      </c>
      <c r="X37" s="6" t="s">
        <v>82</v>
      </c>
      <c r="Y37" s="6" t="s">
        <v>351</v>
      </c>
      <c r="Z37" s="6" t="s">
        <v>76</v>
      </c>
      <c r="AA37" s="14">
        <v>45314</v>
      </c>
      <c r="AB37" s="83">
        <f>38+6/7</f>
        <v>38.857142857142854</v>
      </c>
      <c r="AC37" s="6"/>
      <c r="AD37" s="6" t="s">
        <v>207</v>
      </c>
      <c r="AE37" s="44">
        <f t="shared" si="4"/>
        <v>75</v>
      </c>
      <c r="AF37" s="6">
        <v>0</v>
      </c>
      <c r="AG37" s="6"/>
      <c r="AH37" s="6" t="s">
        <v>80</v>
      </c>
      <c r="AI37" s="27" t="s">
        <v>559</v>
      </c>
      <c r="AJ37" s="6" t="s">
        <v>82</v>
      </c>
      <c r="AK37" s="6" t="s">
        <v>351</v>
      </c>
      <c r="AL37" s="6" t="s">
        <v>207</v>
      </c>
      <c r="AM37" s="83">
        <v>39</v>
      </c>
      <c r="AN37" s="6" t="s">
        <v>382</v>
      </c>
      <c r="AO37" s="159">
        <v>1</v>
      </c>
      <c r="AQ37" s="109" t="s">
        <v>134</v>
      </c>
      <c r="AR37" s="54">
        <v>15</v>
      </c>
      <c r="AS37" s="54" t="s">
        <v>651</v>
      </c>
      <c r="AT37" s="54"/>
      <c r="AU37" s="54"/>
      <c r="AV37" s="110"/>
      <c r="AY37" s="109" t="s">
        <v>645</v>
      </c>
      <c r="AZ37" s="110"/>
      <c r="BB37" s="109" t="s">
        <v>35</v>
      </c>
      <c r="BC37" s="110">
        <v>1</v>
      </c>
    </row>
    <row r="38" spans="1:60" ht="15.75" thickBot="1" x14ac:dyDescent="0.3">
      <c r="A38" s="57">
        <v>511761</v>
      </c>
      <c r="B38" s="58" t="s">
        <v>23</v>
      </c>
      <c r="C38" s="6" t="s">
        <v>39</v>
      </c>
      <c r="D38" s="14">
        <v>45162</v>
      </c>
      <c r="E38" s="14">
        <v>45349</v>
      </c>
      <c r="F38" s="6" t="s">
        <v>77</v>
      </c>
      <c r="G38" s="14">
        <v>29932</v>
      </c>
      <c r="H38" s="44">
        <f t="shared" si="2"/>
        <v>41</v>
      </c>
      <c r="I38" s="6">
        <v>5</v>
      </c>
      <c r="J38" s="6">
        <v>28</v>
      </c>
      <c r="K38" s="6" t="s">
        <v>30</v>
      </c>
      <c r="L38" s="6" t="s">
        <v>78</v>
      </c>
      <c r="M38" s="6" t="s">
        <v>4</v>
      </c>
      <c r="N38" s="6" t="s">
        <v>92</v>
      </c>
      <c r="O38" s="6"/>
      <c r="P38" s="83">
        <f>28+5/7</f>
        <v>28.714285714285715</v>
      </c>
      <c r="Q38" s="6">
        <v>2</v>
      </c>
      <c r="R38" s="6">
        <v>0</v>
      </c>
      <c r="S38" s="6">
        <v>1</v>
      </c>
      <c r="T38" s="6" t="s">
        <v>80</v>
      </c>
      <c r="U38" s="6" t="s">
        <v>95</v>
      </c>
      <c r="V38" s="6" t="s">
        <v>78</v>
      </c>
      <c r="W38" s="6" t="s">
        <v>559</v>
      </c>
      <c r="X38" s="6" t="s">
        <v>82</v>
      </c>
      <c r="Y38" s="6" t="s">
        <v>373</v>
      </c>
      <c r="Z38" s="6" t="s">
        <v>39</v>
      </c>
      <c r="AA38" s="14">
        <v>45419</v>
      </c>
      <c r="AB38" s="83">
        <f>38+5/7</f>
        <v>38.714285714285715</v>
      </c>
      <c r="AC38" s="6"/>
      <c r="AD38" s="6" t="s">
        <v>207</v>
      </c>
      <c r="AE38" s="44">
        <f t="shared" si="4"/>
        <v>70</v>
      </c>
      <c r="AF38" s="6">
        <v>0</v>
      </c>
      <c r="AG38" s="6"/>
      <c r="AH38" s="6" t="s">
        <v>71</v>
      </c>
      <c r="AI38" s="27" t="s">
        <v>559</v>
      </c>
      <c r="AJ38" s="6" t="s">
        <v>82</v>
      </c>
      <c r="AK38" s="6" t="s">
        <v>373</v>
      </c>
      <c r="AL38" s="6" t="s">
        <v>207</v>
      </c>
      <c r="AM38" s="83">
        <v>39</v>
      </c>
      <c r="AN38" s="6" t="s">
        <v>71</v>
      </c>
      <c r="AO38" s="159">
        <v>2</v>
      </c>
      <c r="AQ38" s="127" t="s">
        <v>616</v>
      </c>
      <c r="AR38" s="119">
        <v>12</v>
      </c>
      <c r="AS38" s="119" t="s">
        <v>617</v>
      </c>
      <c r="AT38" s="119"/>
      <c r="AU38" s="119"/>
      <c r="AV38" s="112"/>
      <c r="AY38" s="111" t="s">
        <v>647</v>
      </c>
      <c r="AZ38" s="112"/>
      <c r="BB38" s="109" t="s">
        <v>638</v>
      </c>
      <c r="BC38" s="110">
        <v>12</v>
      </c>
    </row>
    <row r="39" spans="1:60" ht="15.75" thickBot="1" x14ac:dyDescent="0.3">
      <c r="A39" s="57">
        <v>513490</v>
      </c>
      <c r="B39" s="58" t="s">
        <v>23</v>
      </c>
      <c r="C39" s="6" t="s">
        <v>39</v>
      </c>
      <c r="D39" s="14">
        <v>45155</v>
      </c>
      <c r="E39" s="14">
        <v>45341</v>
      </c>
      <c r="F39" s="6" t="s">
        <v>77</v>
      </c>
      <c r="G39" s="14">
        <v>31300</v>
      </c>
      <c r="H39" s="44">
        <f t="shared" si="2"/>
        <v>37</v>
      </c>
      <c r="I39" s="6">
        <v>2</v>
      </c>
      <c r="J39" s="6">
        <v>30</v>
      </c>
      <c r="K39" s="6" t="s">
        <v>30</v>
      </c>
      <c r="L39" s="6" t="s">
        <v>78</v>
      </c>
      <c r="M39" s="27" t="s">
        <v>84</v>
      </c>
      <c r="N39" s="6" t="s">
        <v>154</v>
      </c>
      <c r="O39" s="6"/>
      <c r="P39" s="83">
        <f>28+4/7</f>
        <v>28.571428571428573</v>
      </c>
      <c r="Q39" s="6">
        <v>2</v>
      </c>
      <c r="R39" s="6">
        <v>0</v>
      </c>
      <c r="S39" s="6">
        <v>1</v>
      </c>
      <c r="T39" s="6" t="s">
        <v>80</v>
      </c>
      <c r="U39" s="6" t="s">
        <v>95</v>
      </c>
      <c r="V39" s="6" t="s">
        <v>78</v>
      </c>
      <c r="W39" s="6" t="s">
        <v>559</v>
      </c>
      <c r="X39" s="6" t="s">
        <v>82</v>
      </c>
      <c r="Y39" s="6" t="s">
        <v>373</v>
      </c>
      <c r="Z39" s="6" t="s">
        <v>39</v>
      </c>
      <c r="AA39" s="14">
        <v>45414</v>
      </c>
      <c r="AB39" s="83">
        <v>39</v>
      </c>
      <c r="AC39" s="6"/>
      <c r="AD39" s="6" t="s">
        <v>134</v>
      </c>
      <c r="AE39" s="44">
        <f t="shared" si="4"/>
        <v>73</v>
      </c>
      <c r="AF39" s="6">
        <v>0</v>
      </c>
      <c r="AG39" s="6"/>
      <c r="AH39" s="6" t="s">
        <v>80</v>
      </c>
      <c r="AI39" s="27" t="s">
        <v>559</v>
      </c>
      <c r="AJ39" s="6" t="s">
        <v>82</v>
      </c>
      <c r="AK39" s="6" t="s">
        <v>373</v>
      </c>
      <c r="AL39" s="6" t="s">
        <v>134</v>
      </c>
      <c r="AM39" s="83">
        <v>39</v>
      </c>
      <c r="AN39" s="6"/>
      <c r="AO39" s="159">
        <v>0</v>
      </c>
      <c r="AQ39" s="126"/>
      <c r="BB39" s="109" t="s">
        <v>639</v>
      </c>
      <c r="BC39" s="110">
        <v>1</v>
      </c>
    </row>
    <row r="40" spans="1:60" ht="30" x14ac:dyDescent="0.25">
      <c r="A40" s="60">
        <v>524742</v>
      </c>
      <c r="B40" s="58" t="s">
        <v>23</v>
      </c>
      <c r="C40" s="6" t="s">
        <v>39</v>
      </c>
      <c r="D40" s="14">
        <v>45313</v>
      </c>
      <c r="E40" s="14">
        <v>45511</v>
      </c>
      <c r="F40" s="6" t="s">
        <v>78</v>
      </c>
      <c r="G40" s="14">
        <v>34934</v>
      </c>
      <c r="H40" s="44">
        <f t="shared" si="2"/>
        <v>28</v>
      </c>
      <c r="I40" s="6">
        <v>1</v>
      </c>
      <c r="J40" s="6">
        <v>31</v>
      </c>
      <c r="K40" s="6" t="s">
        <v>30</v>
      </c>
      <c r="L40" s="6" t="s">
        <v>78</v>
      </c>
      <c r="M40" s="6"/>
      <c r="N40" s="6" t="s">
        <v>92</v>
      </c>
      <c r="O40" s="6"/>
      <c r="P40" s="83">
        <f>32+6/7</f>
        <v>32.857142857142854</v>
      </c>
      <c r="Q40" s="6">
        <v>2</v>
      </c>
      <c r="R40" s="6">
        <v>0</v>
      </c>
      <c r="S40" s="6">
        <v>1</v>
      </c>
      <c r="T40" s="6" t="s">
        <v>80</v>
      </c>
      <c r="U40" s="6" t="s">
        <v>95</v>
      </c>
      <c r="V40" s="6" t="s">
        <v>78</v>
      </c>
      <c r="W40" s="6" t="s">
        <v>110</v>
      </c>
      <c r="X40" s="6" t="s">
        <v>82</v>
      </c>
      <c r="Y40" s="6" t="s">
        <v>373</v>
      </c>
      <c r="Z40" s="6" t="s">
        <v>39</v>
      </c>
      <c r="AA40" s="14">
        <v>45570</v>
      </c>
      <c r="AB40" s="83">
        <f>38+5/7</f>
        <v>38.714285714285715</v>
      </c>
      <c r="AC40" s="6"/>
      <c r="AD40" s="6" t="s">
        <v>207</v>
      </c>
      <c r="AE40" s="44">
        <f t="shared" si="4"/>
        <v>59</v>
      </c>
      <c r="AF40" s="6">
        <v>0</v>
      </c>
      <c r="AG40" s="6"/>
      <c r="AH40" s="6" t="s">
        <v>80</v>
      </c>
      <c r="AI40" s="6" t="s">
        <v>110</v>
      </c>
      <c r="AJ40" s="6" t="s">
        <v>82</v>
      </c>
      <c r="AK40" s="6" t="s">
        <v>373</v>
      </c>
      <c r="AL40" s="6" t="s">
        <v>207</v>
      </c>
      <c r="AM40" s="83">
        <f>39</f>
        <v>39</v>
      </c>
      <c r="AN40" s="27" t="s">
        <v>555</v>
      </c>
      <c r="AO40" s="159">
        <v>2</v>
      </c>
      <c r="AQ40" s="120" t="s">
        <v>618</v>
      </c>
      <c r="AR40" s="123"/>
      <c r="AS40" s="116"/>
      <c r="AT40" s="116" t="s">
        <v>622</v>
      </c>
      <c r="AU40" s="108" t="s">
        <v>623</v>
      </c>
      <c r="BB40" s="109" t="s">
        <v>343</v>
      </c>
      <c r="BC40" s="110">
        <v>6</v>
      </c>
    </row>
    <row r="41" spans="1:60" ht="15.75" thickBot="1" x14ac:dyDescent="0.3">
      <c r="A41" s="57">
        <v>519206</v>
      </c>
      <c r="B41" s="58" t="s">
        <v>8</v>
      </c>
      <c r="C41" s="6" t="s">
        <v>39</v>
      </c>
      <c r="D41" s="14">
        <v>45221</v>
      </c>
      <c r="E41" s="14">
        <v>45412</v>
      </c>
      <c r="F41" s="6" t="s">
        <v>77</v>
      </c>
      <c r="G41" s="14">
        <v>30317</v>
      </c>
      <c r="H41" s="44">
        <f t="shared" si="2"/>
        <v>40</v>
      </c>
      <c r="I41" s="6">
        <v>2</v>
      </c>
      <c r="J41" s="6">
        <v>32</v>
      </c>
      <c r="K41" s="6" t="s">
        <v>30</v>
      </c>
      <c r="L41" s="6" t="s">
        <v>78</v>
      </c>
      <c r="M41" s="6"/>
      <c r="N41" s="6"/>
      <c r="O41" s="6"/>
      <c r="P41" s="83">
        <f>29+2/7</f>
        <v>29.285714285714285</v>
      </c>
      <c r="Q41" s="6">
        <v>2</v>
      </c>
      <c r="R41" s="6">
        <v>0</v>
      </c>
      <c r="S41" s="6">
        <v>1</v>
      </c>
      <c r="T41" s="6" t="s">
        <v>80</v>
      </c>
      <c r="U41" s="6" t="s">
        <v>95</v>
      </c>
      <c r="V41" s="6" t="s">
        <v>78</v>
      </c>
      <c r="W41" s="6" t="s">
        <v>559</v>
      </c>
      <c r="X41" s="6" t="s">
        <v>82</v>
      </c>
      <c r="Y41" s="6" t="s">
        <v>351</v>
      </c>
      <c r="Z41" s="6" t="s">
        <v>39</v>
      </c>
      <c r="AA41" s="14">
        <v>45471</v>
      </c>
      <c r="AB41" s="83">
        <v>39</v>
      </c>
      <c r="AC41" s="6"/>
      <c r="AD41" s="6" t="s">
        <v>134</v>
      </c>
      <c r="AE41" s="44">
        <f t="shared" si="4"/>
        <v>59</v>
      </c>
      <c r="AF41" s="6">
        <v>0</v>
      </c>
      <c r="AG41" s="6"/>
      <c r="AH41" s="6" t="s">
        <v>80</v>
      </c>
      <c r="AI41" s="6" t="s">
        <v>559</v>
      </c>
      <c r="AJ41" s="6" t="s">
        <v>82</v>
      </c>
      <c r="AK41" s="6" t="s">
        <v>351</v>
      </c>
      <c r="AL41" s="6" t="s">
        <v>134</v>
      </c>
      <c r="AM41" s="83">
        <f>39</f>
        <v>39</v>
      </c>
      <c r="AN41" s="6"/>
      <c r="AO41" s="159">
        <v>0</v>
      </c>
      <c r="AQ41" s="109" t="s">
        <v>110</v>
      </c>
      <c r="AR41" s="54">
        <v>35</v>
      </c>
      <c r="AS41" s="54"/>
      <c r="AT41" s="54"/>
      <c r="AU41" s="110"/>
      <c r="BB41" s="109" t="s">
        <v>71</v>
      </c>
      <c r="BC41" s="110">
        <v>1</v>
      </c>
    </row>
    <row r="42" spans="1:60" x14ac:dyDescent="0.25">
      <c r="A42" s="60">
        <v>521361</v>
      </c>
      <c r="B42" s="58" t="s">
        <v>8</v>
      </c>
      <c r="C42" s="6" t="s">
        <v>39</v>
      </c>
      <c r="D42" s="14">
        <v>45273</v>
      </c>
      <c r="E42" s="14">
        <v>45461</v>
      </c>
      <c r="F42" s="6" t="s">
        <v>77</v>
      </c>
      <c r="G42" s="14">
        <v>32031</v>
      </c>
      <c r="H42" s="44">
        <f t="shared" si="2"/>
        <v>36</v>
      </c>
      <c r="I42" s="6">
        <v>2</v>
      </c>
      <c r="J42" s="6">
        <v>32</v>
      </c>
      <c r="K42" s="6" t="s">
        <v>30</v>
      </c>
      <c r="L42" s="6" t="s">
        <v>78</v>
      </c>
      <c r="M42" s="6" t="s">
        <v>4</v>
      </c>
      <c r="N42" s="6" t="s">
        <v>154</v>
      </c>
      <c r="O42" s="6"/>
      <c r="P42" s="83">
        <f>28+6/7</f>
        <v>28.857142857142858</v>
      </c>
      <c r="Q42" s="6">
        <v>2</v>
      </c>
      <c r="R42" s="6">
        <v>0</v>
      </c>
      <c r="S42" s="6">
        <v>1</v>
      </c>
      <c r="T42" s="6" t="s">
        <v>80</v>
      </c>
      <c r="U42" s="6" t="s">
        <v>95</v>
      </c>
      <c r="V42" s="6" t="s">
        <v>78</v>
      </c>
      <c r="W42" s="6" t="s">
        <v>559</v>
      </c>
      <c r="X42" s="6" t="s">
        <v>82</v>
      </c>
      <c r="Y42" s="6" t="s">
        <v>351</v>
      </c>
      <c r="Z42" s="6" t="s">
        <v>39</v>
      </c>
      <c r="AA42" s="14">
        <v>45530</v>
      </c>
      <c r="AB42" s="83">
        <f>38+6/7</f>
        <v>38.857142857142854</v>
      </c>
      <c r="AC42" s="6" t="s">
        <v>92</v>
      </c>
      <c r="AD42" s="6" t="s">
        <v>367</v>
      </c>
      <c r="AE42" s="44">
        <f t="shared" si="4"/>
        <v>69</v>
      </c>
      <c r="AF42" s="6">
        <v>0</v>
      </c>
      <c r="AG42" s="6"/>
      <c r="AH42" s="6" t="s">
        <v>80</v>
      </c>
      <c r="AI42" s="6" t="s">
        <v>559</v>
      </c>
      <c r="AJ42" s="6" t="s">
        <v>82</v>
      </c>
      <c r="AK42" s="6" t="s">
        <v>351</v>
      </c>
      <c r="AL42" s="6" t="s">
        <v>207</v>
      </c>
      <c r="AM42" s="83">
        <v>39</v>
      </c>
      <c r="AN42" s="6" t="s">
        <v>389</v>
      </c>
      <c r="AO42" s="159">
        <v>1</v>
      </c>
      <c r="AQ42" s="109" t="s">
        <v>619</v>
      </c>
      <c r="AR42" s="54">
        <v>12</v>
      </c>
      <c r="AS42" s="54"/>
      <c r="AT42" s="54"/>
      <c r="AU42" s="110"/>
      <c r="AW42" s="120" t="s">
        <v>658</v>
      </c>
      <c r="AX42" s="123"/>
      <c r="AY42" s="124"/>
      <c r="BB42" s="109" t="s">
        <v>640</v>
      </c>
      <c r="BC42" s="110">
        <v>2</v>
      </c>
    </row>
    <row r="43" spans="1:60" ht="45.75" thickBot="1" x14ac:dyDescent="0.3">
      <c r="A43" s="57">
        <v>408600</v>
      </c>
      <c r="B43" s="58" t="s">
        <v>23</v>
      </c>
      <c r="C43" s="6" t="s">
        <v>39</v>
      </c>
      <c r="D43" s="14">
        <v>45274</v>
      </c>
      <c r="E43" s="14">
        <v>45475</v>
      </c>
      <c r="F43" s="6" t="s">
        <v>77</v>
      </c>
      <c r="G43" s="14">
        <v>31677</v>
      </c>
      <c r="H43" s="44">
        <f t="shared" si="2"/>
        <v>37</v>
      </c>
      <c r="I43" s="6">
        <v>4</v>
      </c>
      <c r="J43" s="6">
        <v>35</v>
      </c>
      <c r="K43" s="6" t="s">
        <v>30</v>
      </c>
      <c r="L43" s="6" t="s">
        <v>78</v>
      </c>
      <c r="M43" s="27" t="s">
        <v>4</v>
      </c>
      <c r="N43" s="6" t="s">
        <v>181</v>
      </c>
      <c r="O43" s="6"/>
      <c r="P43" s="83">
        <f>30+5/7</f>
        <v>30.714285714285715</v>
      </c>
      <c r="Q43" s="6">
        <v>2</v>
      </c>
      <c r="R43" s="6">
        <v>0</v>
      </c>
      <c r="S43" s="6">
        <v>1</v>
      </c>
      <c r="T43" s="6" t="s">
        <v>80</v>
      </c>
      <c r="U43" s="6" t="s">
        <v>95</v>
      </c>
      <c r="V43" s="6" t="s">
        <v>78</v>
      </c>
      <c r="W43" s="6" t="s">
        <v>559</v>
      </c>
      <c r="X43" s="6" t="s">
        <v>82</v>
      </c>
      <c r="Y43" s="6" t="s">
        <v>373</v>
      </c>
      <c r="Z43" s="27" t="s">
        <v>39</v>
      </c>
      <c r="AA43" s="14">
        <v>45532</v>
      </c>
      <c r="AB43" s="83">
        <f>38+6/7</f>
        <v>38.857142857142854</v>
      </c>
      <c r="AC43" s="6"/>
      <c r="AD43" s="6" t="s">
        <v>207</v>
      </c>
      <c r="AE43" s="44">
        <f t="shared" si="4"/>
        <v>57</v>
      </c>
      <c r="AF43" s="6">
        <v>1</v>
      </c>
      <c r="AG43" s="27" t="s">
        <v>473</v>
      </c>
      <c r="AH43" s="6" t="s">
        <v>80</v>
      </c>
      <c r="AI43" s="27" t="s">
        <v>559</v>
      </c>
      <c r="AJ43" s="6" t="s">
        <v>82</v>
      </c>
      <c r="AK43" s="6" t="s">
        <v>373</v>
      </c>
      <c r="AL43" s="6" t="s">
        <v>207</v>
      </c>
      <c r="AM43" s="83">
        <v>39</v>
      </c>
      <c r="AN43" s="6" t="s">
        <v>475</v>
      </c>
      <c r="AO43" s="159">
        <v>1</v>
      </c>
      <c r="AP43" s="54"/>
      <c r="AQ43" s="109" t="s">
        <v>620</v>
      </c>
      <c r="AR43" s="54">
        <v>5</v>
      </c>
      <c r="AS43" s="54"/>
      <c r="AT43" s="54"/>
      <c r="AU43" s="110"/>
      <c r="AW43" s="109" t="s">
        <v>260</v>
      </c>
      <c r="AX43" s="54">
        <v>1</v>
      </c>
      <c r="AY43" s="110"/>
      <c r="BB43" s="111" t="s">
        <v>4</v>
      </c>
      <c r="BC43" s="112">
        <v>6</v>
      </c>
    </row>
    <row r="44" spans="1:60" ht="30.75" thickBot="1" x14ac:dyDescent="0.3">
      <c r="A44" s="57" t="s">
        <v>24</v>
      </c>
      <c r="B44" s="58" t="s">
        <v>23</v>
      </c>
      <c r="C44" s="6" t="s">
        <v>39</v>
      </c>
      <c r="D44" s="14">
        <v>45037</v>
      </c>
      <c r="E44" s="14">
        <v>45237</v>
      </c>
      <c r="F44" s="6" t="s">
        <v>77</v>
      </c>
      <c r="G44" s="14">
        <v>36525</v>
      </c>
      <c r="H44" s="44">
        <f t="shared" si="2"/>
        <v>23</v>
      </c>
      <c r="I44" s="6">
        <v>2</v>
      </c>
      <c r="J44" s="6">
        <v>35</v>
      </c>
      <c r="K44" s="6" t="s">
        <v>30</v>
      </c>
      <c r="L44" s="6" t="s">
        <v>78</v>
      </c>
      <c r="M44" s="6" t="s">
        <v>182</v>
      </c>
      <c r="N44" s="6"/>
      <c r="O44" s="6"/>
      <c r="P44" s="83">
        <f>29+1/7</f>
        <v>29.142857142857142</v>
      </c>
      <c r="Q44" s="6">
        <v>2</v>
      </c>
      <c r="R44" s="6">
        <v>0</v>
      </c>
      <c r="S44" s="6">
        <v>1</v>
      </c>
      <c r="T44" s="6" t="s">
        <v>80</v>
      </c>
      <c r="U44" s="6" t="s">
        <v>95</v>
      </c>
      <c r="V44" s="6" t="s">
        <v>78</v>
      </c>
      <c r="W44" s="6" t="s">
        <v>559</v>
      </c>
      <c r="X44" s="6" t="s">
        <v>82</v>
      </c>
      <c r="Y44" s="6" t="s">
        <v>373</v>
      </c>
      <c r="Z44" s="6" t="s">
        <v>39</v>
      </c>
      <c r="AA44" s="14">
        <v>45305</v>
      </c>
      <c r="AB44" s="83">
        <f>38+5/7</f>
        <v>38.714285714285715</v>
      </c>
      <c r="AC44" s="6"/>
      <c r="AD44" s="6" t="s">
        <v>207</v>
      </c>
      <c r="AE44" s="44">
        <f t="shared" si="4"/>
        <v>68</v>
      </c>
      <c r="AF44" s="6">
        <v>1</v>
      </c>
      <c r="AG44" s="27" t="s">
        <v>415</v>
      </c>
      <c r="AH44" s="6" t="s">
        <v>80</v>
      </c>
      <c r="AI44" s="27" t="s">
        <v>559</v>
      </c>
      <c r="AJ44" s="6" t="s">
        <v>82</v>
      </c>
      <c r="AK44" s="6" t="s">
        <v>373</v>
      </c>
      <c r="AL44" s="6" t="s">
        <v>367</v>
      </c>
      <c r="AM44" s="83">
        <v>39</v>
      </c>
      <c r="AN44" s="6" t="s">
        <v>343</v>
      </c>
      <c r="AO44" s="159">
        <v>2</v>
      </c>
      <c r="AP44" s="54"/>
      <c r="AQ44" s="111" t="s">
        <v>621</v>
      </c>
      <c r="AR44" s="119">
        <v>15</v>
      </c>
      <c r="AS44" s="119" t="s">
        <v>666</v>
      </c>
      <c r="AT44" s="119"/>
      <c r="AU44" s="112"/>
      <c r="AW44" s="109" t="s">
        <v>638</v>
      </c>
      <c r="AX44" s="54">
        <v>2</v>
      </c>
      <c r="AY44" s="110"/>
    </row>
    <row r="45" spans="1:60" ht="15.75" thickBot="1" x14ac:dyDescent="0.3">
      <c r="A45" s="57">
        <v>514559</v>
      </c>
      <c r="B45" s="58" t="s">
        <v>8</v>
      </c>
      <c r="C45" s="6" t="s">
        <v>39</v>
      </c>
      <c r="D45" s="14">
        <v>45162</v>
      </c>
      <c r="E45" s="14">
        <v>45344</v>
      </c>
      <c r="F45" s="6" t="s">
        <v>77</v>
      </c>
      <c r="G45" s="14">
        <v>33741</v>
      </c>
      <c r="H45" s="44">
        <f t="shared" si="2"/>
        <v>31</v>
      </c>
      <c r="I45" s="6">
        <v>0</v>
      </c>
      <c r="J45" s="6">
        <v>37</v>
      </c>
      <c r="K45" s="6" t="s">
        <v>30</v>
      </c>
      <c r="L45" s="6" t="s">
        <v>78</v>
      </c>
      <c r="M45" s="6"/>
      <c r="N45" s="6" t="s">
        <v>92</v>
      </c>
      <c r="O45" s="6"/>
      <c r="P45" s="83">
        <f>28</f>
        <v>28</v>
      </c>
      <c r="Q45" s="6">
        <v>2</v>
      </c>
      <c r="R45" s="6">
        <v>0</v>
      </c>
      <c r="S45" s="6">
        <v>1</v>
      </c>
      <c r="T45" s="6" t="s">
        <v>80</v>
      </c>
      <c r="U45" s="6" t="s">
        <v>95</v>
      </c>
      <c r="V45" s="6" t="s">
        <v>78</v>
      </c>
      <c r="W45" s="6" t="s">
        <v>559</v>
      </c>
      <c r="X45" s="6" t="s">
        <v>82</v>
      </c>
      <c r="Y45" s="6" t="s">
        <v>351</v>
      </c>
      <c r="Z45" s="6" t="s">
        <v>39</v>
      </c>
      <c r="AA45" s="14">
        <v>45419</v>
      </c>
      <c r="AB45" s="83">
        <f>38+5/7</f>
        <v>38.714285714285715</v>
      </c>
      <c r="AC45" s="6"/>
      <c r="AD45" s="6" t="s">
        <v>387</v>
      </c>
      <c r="AE45" s="44">
        <f t="shared" si="4"/>
        <v>75</v>
      </c>
      <c r="AF45" s="6">
        <v>0</v>
      </c>
      <c r="AG45" s="6"/>
      <c r="AH45" s="6" t="s">
        <v>71</v>
      </c>
      <c r="AI45" s="6" t="s">
        <v>559</v>
      </c>
      <c r="AJ45" s="6" t="s">
        <v>82</v>
      </c>
      <c r="AK45" s="6" t="s">
        <v>351</v>
      </c>
      <c r="AL45" s="6" t="s">
        <v>207</v>
      </c>
      <c r="AM45" s="83">
        <v>39</v>
      </c>
      <c r="AN45" s="6" t="s">
        <v>368</v>
      </c>
      <c r="AO45" s="159">
        <v>2</v>
      </c>
      <c r="AP45" s="54"/>
      <c r="AQ45" s="54"/>
      <c r="AR45" s="54"/>
      <c r="AW45" s="109" t="s">
        <v>84</v>
      </c>
      <c r="AX45" s="54">
        <v>1</v>
      </c>
      <c r="AY45" s="110"/>
    </row>
    <row r="46" spans="1:60" x14ac:dyDescent="0.25">
      <c r="A46" s="60">
        <v>423810</v>
      </c>
      <c r="B46" s="6" t="s">
        <v>7</v>
      </c>
      <c r="C46" s="6" t="s">
        <v>6</v>
      </c>
      <c r="D46" s="14">
        <v>45252</v>
      </c>
      <c r="E46" s="14">
        <v>45460</v>
      </c>
      <c r="F46" s="6" t="s">
        <v>77</v>
      </c>
      <c r="G46" s="14">
        <v>33135</v>
      </c>
      <c r="H46" s="44">
        <f t="shared" si="2"/>
        <v>33</v>
      </c>
      <c r="I46" s="6">
        <v>1</v>
      </c>
      <c r="J46" s="6">
        <v>38</v>
      </c>
      <c r="K46" s="6" t="s">
        <v>30</v>
      </c>
      <c r="L46" s="6" t="s">
        <v>78</v>
      </c>
      <c r="M46" s="6"/>
      <c r="N46" s="6"/>
      <c r="O46" s="6"/>
      <c r="P46" s="83">
        <f>31+5/7</f>
        <v>31.714285714285715</v>
      </c>
      <c r="Q46" s="6">
        <v>2</v>
      </c>
      <c r="R46" s="6">
        <v>1</v>
      </c>
      <c r="S46" s="6">
        <v>1</v>
      </c>
      <c r="T46" s="6" t="s">
        <v>71</v>
      </c>
      <c r="U46" s="6" t="s">
        <v>165</v>
      </c>
      <c r="V46" s="6" t="s">
        <v>78</v>
      </c>
      <c r="W46" s="6" t="s">
        <v>559</v>
      </c>
      <c r="X46" s="6" t="s">
        <v>82</v>
      </c>
      <c r="Y46" s="6" t="s">
        <v>373</v>
      </c>
      <c r="Z46" s="6" t="s">
        <v>6</v>
      </c>
      <c r="AA46" s="14">
        <v>45511</v>
      </c>
      <c r="AB46" s="83">
        <f>38+4/7</f>
        <v>38.571428571428569</v>
      </c>
      <c r="AC46" s="6"/>
      <c r="AD46" s="6" t="s">
        <v>207</v>
      </c>
      <c r="AE46" s="44">
        <f t="shared" si="4"/>
        <v>51</v>
      </c>
      <c r="AF46" s="44">
        <v>0</v>
      </c>
      <c r="AG46" s="6"/>
      <c r="AH46" s="6" t="s">
        <v>71</v>
      </c>
      <c r="AI46" s="6" t="s">
        <v>559</v>
      </c>
      <c r="AJ46" s="6" t="s">
        <v>82</v>
      </c>
      <c r="AK46" s="6" t="s">
        <v>83</v>
      </c>
      <c r="AL46" s="6" t="s">
        <v>207</v>
      </c>
      <c r="AM46" s="131">
        <v>39</v>
      </c>
      <c r="AN46" s="6" t="s">
        <v>76</v>
      </c>
      <c r="AO46" s="159">
        <v>3</v>
      </c>
      <c r="AQ46" s="120" t="s">
        <v>659</v>
      </c>
      <c r="AR46" s="123"/>
      <c r="AS46" s="116"/>
      <c r="AT46" s="116"/>
      <c r="AU46" s="108"/>
      <c r="AW46" s="109" t="s">
        <v>343</v>
      </c>
      <c r="AX46" s="54">
        <v>3</v>
      </c>
      <c r="AY46" s="110"/>
    </row>
    <row r="47" spans="1:60" x14ac:dyDescent="0.25">
      <c r="A47" s="57">
        <v>426355</v>
      </c>
      <c r="B47" s="58" t="s">
        <v>23</v>
      </c>
      <c r="C47" s="6" t="s">
        <v>39</v>
      </c>
      <c r="D47" s="14">
        <v>44976</v>
      </c>
      <c r="E47" s="14">
        <v>45351</v>
      </c>
      <c r="F47" s="6" t="s">
        <v>77</v>
      </c>
      <c r="G47" s="14">
        <v>31189</v>
      </c>
      <c r="H47" s="44">
        <f t="shared" si="2"/>
        <v>37</v>
      </c>
      <c r="I47" s="6">
        <v>4</v>
      </c>
      <c r="J47" s="6">
        <v>38</v>
      </c>
      <c r="K47" s="6" t="s">
        <v>30</v>
      </c>
      <c r="L47" s="6" t="s">
        <v>78</v>
      </c>
      <c r="M47" s="27" t="s">
        <v>84</v>
      </c>
      <c r="N47" s="6" t="s">
        <v>181</v>
      </c>
      <c r="O47" s="6"/>
      <c r="P47" s="83">
        <f>34+1/7</f>
        <v>34.142857142857146</v>
      </c>
      <c r="Q47" s="6">
        <v>2</v>
      </c>
      <c r="R47" s="6">
        <v>0</v>
      </c>
      <c r="S47" s="6">
        <v>1</v>
      </c>
      <c r="T47" s="6" t="s">
        <v>80</v>
      </c>
      <c r="U47" s="6" t="s">
        <v>95</v>
      </c>
      <c r="V47" s="6" t="s">
        <v>78</v>
      </c>
      <c r="W47" s="6" t="s">
        <v>110</v>
      </c>
      <c r="X47" s="6" t="s">
        <v>82</v>
      </c>
      <c r="Y47" s="6" t="s">
        <v>373</v>
      </c>
      <c r="Z47" s="6" t="s">
        <v>39</v>
      </c>
      <c r="AA47" s="14">
        <v>45384</v>
      </c>
      <c r="AB47" s="83">
        <f>38+6/7</f>
        <v>38.857142857142854</v>
      </c>
      <c r="AC47" s="6"/>
      <c r="AD47" s="6" t="s">
        <v>207</v>
      </c>
      <c r="AE47" s="44">
        <f t="shared" si="4"/>
        <v>33</v>
      </c>
      <c r="AF47" s="6">
        <v>0</v>
      </c>
      <c r="AG47" s="6"/>
      <c r="AH47" s="6" t="s">
        <v>80</v>
      </c>
      <c r="AI47" s="6" t="s">
        <v>110</v>
      </c>
      <c r="AJ47" s="6" t="s">
        <v>82</v>
      </c>
      <c r="AK47" s="6" t="s">
        <v>373</v>
      </c>
      <c r="AL47" s="6" t="s">
        <v>207</v>
      </c>
      <c r="AM47" s="83">
        <f>39</f>
        <v>39</v>
      </c>
      <c r="AN47" s="6" t="s">
        <v>181</v>
      </c>
      <c r="AO47" s="159">
        <v>1</v>
      </c>
      <c r="AQ47" s="109" t="s">
        <v>660</v>
      </c>
      <c r="AR47" s="54"/>
      <c r="AS47" s="54"/>
      <c r="AT47" s="54"/>
      <c r="AU47" s="110"/>
      <c r="AW47" s="109" t="s">
        <v>480</v>
      </c>
      <c r="AX47" s="54">
        <v>2</v>
      </c>
      <c r="AY47" s="110"/>
    </row>
    <row r="48" spans="1:60" ht="45" x14ac:dyDescent="0.25">
      <c r="A48" s="61">
        <v>512431</v>
      </c>
      <c r="B48" s="6" t="s">
        <v>7</v>
      </c>
      <c r="C48" s="6" t="s">
        <v>5</v>
      </c>
      <c r="D48" s="14">
        <v>45056</v>
      </c>
      <c r="E48" s="14">
        <v>45268</v>
      </c>
      <c r="F48" s="6" t="s">
        <v>77</v>
      </c>
      <c r="G48" s="14">
        <v>34025</v>
      </c>
      <c r="H48" s="44">
        <f t="shared" si="2"/>
        <v>30</v>
      </c>
      <c r="I48" s="6">
        <v>3</v>
      </c>
      <c r="J48" s="6">
        <v>43</v>
      </c>
      <c r="K48" s="6" t="s">
        <v>30</v>
      </c>
      <c r="L48" s="6" t="s">
        <v>78</v>
      </c>
      <c r="M48" s="6"/>
      <c r="N48" s="6" t="s">
        <v>92</v>
      </c>
      <c r="O48" s="6"/>
      <c r="P48" s="83">
        <f>32+2/7</f>
        <v>32.285714285714285</v>
      </c>
      <c r="Q48" s="6">
        <v>2</v>
      </c>
      <c r="R48" s="6">
        <v>0</v>
      </c>
      <c r="S48" s="6">
        <v>0.25</v>
      </c>
      <c r="T48" s="6" t="s">
        <v>71</v>
      </c>
      <c r="U48" s="27" t="s">
        <v>557</v>
      </c>
      <c r="V48" s="6" t="s">
        <v>78</v>
      </c>
      <c r="W48" s="6" t="s">
        <v>110</v>
      </c>
      <c r="X48" s="6" t="s">
        <v>82</v>
      </c>
      <c r="Y48" s="6" t="s">
        <v>373</v>
      </c>
      <c r="Z48" s="6" t="s">
        <v>39</v>
      </c>
      <c r="AA48" s="14">
        <v>45344</v>
      </c>
      <c r="AB48" s="83">
        <f>38+4/7</f>
        <v>38.571428571428569</v>
      </c>
      <c r="AC48" s="6"/>
      <c r="AD48" s="6" t="s">
        <v>207</v>
      </c>
      <c r="AE48" s="44">
        <f t="shared" si="4"/>
        <v>76</v>
      </c>
      <c r="AF48" s="44">
        <v>0</v>
      </c>
      <c r="AG48" s="6"/>
      <c r="AH48" s="6" t="s">
        <v>80</v>
      </c>
      <c r="AI48" s="6" t="s">
        <v>110</v>
      </c>
      <c r="AJ48" s="6"/>
      <c r="AK48" s="6"/>
      <c r="AL48" s="6" t="s">
        <v>207</v>
      </c>
      <c r="AM48" s="83">
        <f>39</f>
        <v>39</v>
      </c>
      <c r="AN48" s="6" t="s">
        <v>92</v>
      </c>
      <c r="AO48" s="159">
        <v>3</v>
      </c>
      <c r="AQ48" s="109" t="s">
        <v>661</v>
      </c>
      <c r="AR48" s="54"/>
      <c r="AS48" s="54" t="s">
        <v>663</v>
      </c>
      <c r="AT48" s="54"/>
      <c r="AU48" s="110"/>
      <c r="AW48" s="109" t="s">
        <v>664</v>
      </c>
      <c r="AX48" s="54">
        <v>2</v>
      </c>
      <c r="AY48" s="110"/>
    </row>
    <row r="49" spans="1:51" ht="15.75" thickBot="1" x14ac:dyDescent="0.3">
      <c r="A49" s="57">
        <v>508218</v>
      </c>
      <c r="B49" s="58" t="s">
        <v>8</v>
      </c>
      <c r="C49" s="6" t="s">
        <v>76</v>
      </c>
      <c r="D49" s="14">
        <v>45293</v>
      </c>
      <c r="E49" s="14">
        <v>45491</v>
      </c>
      <c r="F49" s="6" t="s">
        <v>77</v>
      </c>
      <c r="G49" s="14">
        <v>35909</v>
      </c>
      <c r="H49" s="44">
        <f t="shared" si="2"/>
        <v>25</v>
      </c>
      <c r="I49" s="6">
        <v>0</v>
      </c>
      <c r="J49" s="6">
        <v>47</v>
      </c>
      <c r="K49" s="6" t="s">
        <v>30</v>
      </c>
      <c r="L49" s="6" t="s">
        <v>78</v>
      </c>
      <c r="M49" s="27" t="s">
        <v>369</v>
      </c>
      <c r="N49" s="6" t="s">
        <v>92</v>
      </c>
      <c r="O49" s="6"/>
      <c r="P49" s="83">
        <f>30+2/7</f>
        <v>30.285714285714285</v>
      </c>
      <c r="Q49" s="6">
        <v>2</v>
      </c>
      <c r="R49" s="6">
        <v>0</v>
      </c>
      <c r="S49" s="6">
        <v>1</v>
      </c>
      <c r="T49" s="6" t="s">
        <v>80</v>
      </c>
      <c r="U49" s="6" t="s">
        <v>165</v>
      </c>
      <c r="V49" s="6" t="s">
        <v>78</v>
      </c>
      <c r="W49" s="6" t="s">
        <v>559</v>
      </c>
      <c r="X49" s="6" t="s">
        <v>82</v>
      </c>
      <c r="Y49" s="6" t="s">
        <v>351</v>
      </c>
      <c r="Z49" s="6" t="s">
        <v>76</v>
      </c>
      <c r="AA49" s="14">
        <v>45550</v>
      </c>
      <c r="AB49" s="83">
        <f>38+5/7</f>
        <v>38.714285714285715</v>
      </c>
      <c r="AC49" s="6"/>
      <c r="AD49" s="6" t="s">
        <v>367</v>
      </c>
      <c r="AE49" s="44">
        <f t="shared" si="4"/>
        <v>59</v>
      </c>
      <c r="AF49" s="6">
        <v>0</v>
      </c>
      <c r="AG49" s="6"/>
      <c r="AH49" s="6" t="s">
        <v>80</v>
      </c>
      <c r="AI49" s="6" t="s">
        <v>559</v>
      </c>
      <c r="AJ49" s="6" t="s">
        <v>82</v>
      </c>
      <c r="AK49" s="6" t="s">
        <v>351</v>
      </c>
      <c r="AL49" s="6" t="s">
        <v>207</v>
      </c>
      <c r="AM49" s="83">
        <v>39</v>
      </c>
      <c r="AN49" s="6" t="s">
        <v>368</v>
      </c>
      <c r="AO49" s="159">
        <v>2</v>
      </c>
      <c r="AQ49" s="132" t="s">
        <v>662</v>
      </c>
      <c r="AR49" s="119"/>
      <c r="AS49" s="119"/>
      <c r="AT49" s="119"/>
      <c r="AU49" s="112"/>
      <c r="AW49" s="109" t="s">
        <v>665</v>
      </c>
      <c r="AX49" s="54">
        <v>3</v>
      </c>
      <c r="AY49" s="110"/>
    </row>
    <row r="50" spans="1:51" ht="15.75" thickBot="1" x14ac:dyDescent="0.3">
      <c r="A50" s="57">
        <v>517195</v>
      </c>
      <c r="B50" s="58" t="s">
        <v>23</v>
      </c>
      <c r="C50" s="27" t="s">
        <v>39</v>
      </c>
      <c r="D50" s="14">
        <v>45240</v>
      </c>
      <c r="E50" s="14">
        <v>45422</v>
      </c>
      <c r="F50" s="6" t="s">
        <v>77</v>
      </c>
      <c r="G50" s="14">
        <v>32263</v>
      </c>
      <c r="H50" s="44">
        <f t="shared" si="2"/>
        <v>35</v>
      </c>
      <c r="I50" s="6">
        <v>1</v>
      </c>
      <c r="J50" s="6">
        <v>48</v>
      </c>
      <c r="K50" s="6" t="s">
        <v>30</v>
      </c>
      <c r="L50" s="6" t="s">
        <v>78</v>
      </c>
      <c r="M50" s="6"/>
      <c r="N50" s="6"/>
      <c r="O50" s="6" t="s">
        <v>84</v>
      </c>
      <c r="P50" s="83">
        <v>28</v>
      </c>
      <c r="Q50" s="6">
        <v>2</v>
      </c>
      <c r="R50" s="6">
        <v>0</v>
      </c>
      <c r="S50" s="6">
        <v>1</v>
      </c>
      <c r="T50" s="6" t="s">
        <v>80</v>
      </c>
      <c r="U50" s="6" t="s">
        <v>95</v>
      </c>
      <c r="V50" s="6" t="s">
        <v>78</v>
      </c>
      <c r="W50" s="6" t="s">
        <v>559</v>
      </c>
      <c r="X50" s="6" t="s">
        <v>82</v>
      </c>
      <c r="Y50" s="6" t="s">
        <v>373</v>
      </c>
      <c r="Z50" s="6" t="s">
        <v>39</v>
      </c>
      <c r="AA50" s="14">
        <v>45498</v>
      </c>
      <c r="AB50" s="83">
        <f>38+6/7</f>
        <v>38.857142857142854</v>
      </c>
      <c r="AC50" s="6"/>
      <c r="AD50" s="6" t="s">
        <v>207</v>
      </c>
      <c r="AE50" s="44">
        <f t="shared" si="4"/>
        <v>76</v>
      </c>
      <c r="AF50" s="6">
        <v>0</v>
      </c>
      <c r="AG50" s="6"/>
      <c r="AH50" s="6" t="s">
        <v>80</v>
      </c>
      <c r="AI50" s="27" t="s">
        <v>559</v>
      </c>
      <c r="AJ50" s="6" t="s">
        <v>82</v>
      </c>
      <c r="AK50" s="6" t="s">
        <v>373</v>
      </c>
      <c r="AL50" s="6" t="s">
        <v>207</v>
      </c>
      <c r="AM50" s="83">
        <v>39</v>
      </c>
      <c r="AN50" s="6" t="s">
        <v>437</v>
      </c>
      <c r="AO50" s="159">
        <v>1</v>
      </c>
      <c r="AW50" s="132" t="s">
        <v>667</v>
      </c>
      <c r="AX50" s="134">
        <v>1</v>
      </c>
      <c r="AY50" s="112"/>
    </row>
    <row r="51" spans="1:51" x14ac:dyDescent="0.25">
      <c r="A51" s="60">
        <v>524050</v>
      </c>
      <c r="B51" s="58" t="s">
        <v>23</v>
      </c>
      <c r="C51" s="6" t="s">
        <v>39</v>
      </c>
      <c r="D51" s="14">
        <v>45298</v>
      </c>
      <c r="E51" s="14">
        <v>45520</v>
      </c>
      <c r="F51" s="6" t="s">
        <v>77</v>
      </c>
      <c r="G51" s="14">
        <v>33515</v>
      </c>
      <c r="H51" s="44">
        <f t="shared" si="2"/>
        <v>32</v>
      </c>
      <c r="I51" s="6">
        <v>1</v>
      </c>
      <c r="J51" s="6">
        <v>30</v>
      </c>
      <c r="K51" s="6" t="s">
        <v>30</v>
      </c>
      <c r="L51" s="6" t="s">
        <v>78</v>
      </c>
      <c r="M51" s="6" t="s">
        <v>84</v>
      </c>
      <c r="N51" s="6"/>
      <c r="O51" s="6"/>
      <c r="P51" s="83">
        <f>33+5/7</f>
        <v>33.714285714285715</v>
      </c>
      <c r="Q51" s="6">
        <v>2</v>
      </c>
      <c r="R51" s="6">
        <v>0</v>
      </c>
      <c r="S51" s="6">
        <v>1</v>
      </c>
      <c r="T51" s="6" t="s">
        <v>80</v>
      </c>
      <c r="U51" s="6" t="s">
        <v>95</v>
      </c>
      <c r="V51" s="6" t="s">
        <v>78</v>
      </c>
      <c r="W51" s="6" t="s">
        <v>559</v>
      </c>
      <c r="X51" s="6" t="s">
        <v>82</v>
      </c>
      <c r="Y51" s="6" t="s">
        <v>373</v>
      </c>
      <c r="Z51" s="6" t="s">
        <v>39</v>
      </c>
      <c r="AA51" s="14">
        <v>45558</v>
      </c>
      <c r="AB51" s="83">
        <f>39+1/7</f>
        <v>39.142857142857146</v>
      </c>
      <c r="AC51" s="6"/>
      <c r="AD51" s="6" t="s">
        <v>134</v>
      </c>
      <c r="AE51" s="44">
        <f t="shared" si="4"/>
        <v>38</v>
      </c>
      <c r="AF51" s="6">
        <v>0</v>
      </c>
      <c r="AG51" s="6"/>
      <c r="AH51" s="6" t="s">
        <v>80</v>
      </c>
      <c r="AI51" s="27" t="s">
        <v>559</v>
      </c>
      <c r="AJ51" s="6" t="s">
        <v>82</v>
      </c>
      <c r="AK51" s="6" t="s">
        <v>373</v>
      </c>
      <c r="AL51" s="6" t="s">
        <v>134</v>
      </c>
      <c r="AM51" s="83">
        <f>39+1/7</f>
        <v>39.142857142857146</v>
      </c>
      <c r="AN51" s="6"/>
      <c r="AO51" s="159">
        <v>0</v>
      </c>
      <c r="AW51" s="133" t="s">
        <v>668</v>
      </c>
    </row>
    <row r="52" spans="1:51" x14ac:dyDescent="0.25">
      <c r="A52" s="57">
        <v>467408</v>
      </c>
      <c r="B52" s="58" t="s">
        <v>23</v>
      </c>
      <c r="C52" s="6" t="s">
        <v>39</v>
      </c>
      <c r="D52" s="14">
        <v>45138</v>
      </c>
      <c r="E52" s="14">
        <v>45320</v>
      </c>
      <c r="F52" s="6" t="s">
        <v>77</v>
      </c>
      <c r="G52" s="14">
        <v>30840</v>
      </c>
      <c r="H52" s="44">
        <f t="shared" si="2"/>
        <v>39</v>
      </c>
      <c r="I52" s="6">
        <v>3</v>
      </c>
      <c r="J52" s="6">
        <v>29</v>
      </c>
      <c r="K52" s="6" t="s">
        <v>30</v>
      </c>
      <c r="L52" s="6" t="s">
        <v>78</v>
      </c>
      <c r="M52" s="6"/>
      <c r="N52" s="6" t="s">
        <v>154</v>
      </c>
      <c r="O52" s="6"/>
      <c r="P52" s="83">
        <v>28</v>
      </c>
      <c r="Q52" s="6">
        <v>2</v>
      </c>
      <c r="R52" s="6">
        <v>0</v>
      </c>
      <c r="S52" s="6">
        <v>1</v>
      </c>
      <c r="T52" s="6" t="s">
        <v>80</v>
      </c>
      <c r="U52" s="6" t="s">
        <v>95</v>
      </c>
      <c r="V52" s="6" t="s">
        <v>78</v>
      </c>
      <c r="W52" s="6" t="s">
        <v>559</v>
      </c>
      <c r="X52" s="6" t="s">
        <v>82</v>
      </c>
      <c r="Y52" s="6" t="s">
        <v>373</v>
      </c>
      <c r="Z52" s="6" t="s">
        <v>39</v>
      </c>
      <c r="AA52" s="14">
        <v>45399</v>
      </c>
      <c r="AB52" s="83">
        <f>39+2/7</f>
        <v>39.285714285714285</v>
      </c>
      <c r="AC52" s="6"/>
      <c r="AD52" s="6" t="s">
        <v>134</v>
      </c>
      <c r="AE52" s="44">
        <f t="shared" si="4"/>
        <v>79</v>
      </c>
      <c r="AF52" s="6">
        <v>0</v>
      </c>
      <c r="AG52" s="6"/>
      <c r="AH52" s="6" t="s">
        <v>80</v>
      </c>
      <c r="AI52" s="6" t="s">
        <v>559</v>
      </c>
      <c r="AJ52" s="6" t="s">
        <v>82</v>
      </c>
      <c r="AK52" s="6" t="s">
        <v>373</v>
      </c>
      <c r="AL52" s="6" t="s">
        <v>134</v>
      </c>
      <c r="AM52" s="83">
        <f>39+2/7</f>
        <v>39.285714285714285</v>
      </c>
      <c r="AN52" s="6"/>
      <c r="AO52" s="159">
        <v>0</v>
      </c>
      <c r="AW52" s="133" t="s">
        <v>671</v>
      </c>
    </row>
    <row r="53" spans="1:51" x14ac:dyDescent="0.25">
      <c r="A53" s="57">
        <v>520148</v>
      </c>
      <c r="B53" s="58" t="s">
        <v>8</v>
      </c>
      <c r="C53" s="6" t="s">
        <v>39</v>
      </c>
      <c r="D53" s="14">
        <v>45234</v>
      </c>
      <c r="E53" s="14">
        <v>45434</v>
      </c>
      <c r="F53" s="6" t="s">
        <v>77</v>
      </c>
      <c r="G53" s="14">
        <v>36886</v>
      </c>
      <c r="H53" s="44">
        <f t="shared" si="2"/>
        <v>22</v>
      </c>
      <c r="I53" s="6">
        <v>1</v>
      </c>
      <c r="J53" s="6">
        <v>46</v>
      </c>
      <c r="K53" s="6" t="s">
        <v>30</v>
      </c>
      <c r="L53" s="6" t="s">
        <v>78</v>
      </c>
      <c r="M53" s="6"/>
      <c r="N53" s="6" t="s">
        <v>154</v>
      </c>
      <c r="O53" s="6"/>
      <c r="P53" s="83">
        <f>30+4/7</f>
        <v>30.571428571428573</v>
      </c>
      <c r="Q53" s="6">
        <v>2</v>
      </c>
      <c r="R53" s="6">
        <v>0</v>
      </c>
      <c r="S53" s="6">
        <v>1</v>
      </c>
      <c r="T53" s="6" t="s">
        <v>80</v>
      </c>
      <c r="U53" s="6" t="s">
        <v>95</v>
      </c>
      <c r="V53" s="6" t="s">
        <v>78</v>
      </c>
      <c r="W53" s="6" t="s">
        <v>559</v>
      </c>
      <c r="X53" s="6" t="s">
        <v>82</v>
      </c>
      <c r="Y53" s="6" t="s">
        <v>351</v>
      </c>
      <c r="Z53" s="6" t="s">
        <v>39</v>
      </c>
      <c r="AA53" s="14">
        <v>45492</v>
      </c>
      <c r="AB53" s="83">
        <f>38+4/7</f>
        <v>38.571428571428569</v>
      </c>
      <c r="AC53" s="6"/>
      <c r="AD53" s="6" t="s">
        <v>367</v>
      </c>
      <c r="AE53" s="44">
        <f t="shared" si="4"/>
        <v>58</v>
      </c>
      <c r="AF53" s="6">
        <v>0</v>
      </c>
      <c r="AG53" s="6"/>
      <c r="AH53" s="6" t="s">
        <v>80</v>
      </c>
      <c r="AI53" s="27" t="s">
        <v>559</v>
      </c>
      <c r="AJ53" s="6" t="s">
        <v>82</v>
      </c>
      <c r="AK53" s="6" t="s">
        <v>351</v>
      </c>
      <c r="AL53" s="6" t="s">
        <v>207</v>
      </c>
      <c r="AM53" s="83">
        <f>39+2/7</f>
        <v>39.285714285714285</v>
      </c>
      <c r="AN53" s="6" t="s">
        <v>368</v>
      </c>
      <c r="AO53" s="159">
        <v>5</v>
      </c>
      <c r="AW53" s="133" t="s">
        <v>669</v>
      </c>
    </row>
    <row r="54" spans="1:51" ht="25.5" x14ac:dyDescent="0.25">
      <c r="A54" s="57" t="s">
        <v>9</v>
      </c>
      <c r="B54" s="58" t="s">
        <v>8</v>
      </c>
      <c r="C54" s="6" t="s">
        <v>76</v>
      </c>
      <c r="D54" s="14">
        <v>45052</v>
      </c>
      <c r="E54" s="14">
        <v>45258</v>
      </c>
      <c r="F54" s="6" t="s">
        <v>77</v>
      </c>
      <c r="G54" s="14">
        <v>31336</v>
      </c>
      <c r="H54" s="44">
        <f t="shared" si="2"/>
        <v>37</v>
      </c>
      <c r="I54" s="6">
        <v>0</v>
      </c>
      <c r="J54" s="6">
        <v>22</v>
      </c>
      <c r="K54" s="6" t="s">
        <v>30</v>
      </c>
      <c r="L54" s="6" t="s">
        <v>78</v>
      </c>
      <c r="M54" s="6"/>
      <c r="N54" s="6"/>
      <c r="O54" s="6"/>
      <c r="P54" s="83">
        <f>31+3/7</f>
        <v>31.428571428571427</v>
      </c>
      <c r="Q54" s="6">
        <v>2</v>
      </c>
      <c r="R54" s="6">
        <v>0</v>
      </c>
      <c r="S54" s="6">
        <v>1</v>
      </c>
      <c r="T54" s="6" t="s">
        <v>80</v>
      </c>
      <c r="U54" s="6" t="s">
        <v>165</v>
      </c>
      <c r="V54" s="6" t="s">
        <v>78</v>
      </c>
      <c r="W54" s="6" t="s">
        <v>559</v>
      </c>
      <c r="X54" s="6" t="s">
        <v>82</v>
      </c>
      <c r="Y54" s="6" t="s">
        <v>351</v>
      </c>
      <c r="Z54" s="6" t="s">
        <v>76</v>
      </c>
      <c r="AA54" s="14">
        <v>45318</v>
      </c>
      <c r="AB54" s="83">
        <f>39+3/7</f>
        <v>39.428571428571431</v>
      </c>
      <c r="AC54" s="6" t="s">
        <v>385</v>
      </c>
      <c r="AD54" s="6" t="s">
        <v>134</v>
      </c>
      <c r="AE54" s="44">
        <f t="shared" si="4"/>
        <v>60</v>
      </c>
      <c r="AF54" s="6">
        <v>0</v>
      </c>
      <c r="AG54" s="6"/>
      <c r="AH54" s="6" t="s">
        <v>80</v>
      </c>
      <c r="AI54" s="27" t="s">
        <v>559</v>
      </c>
      <c r="AJ54" s="6" t="s">
        <v>82</v>
      </c>
      <c r="AK54" s="6" t="s">
        <v>351</v>
      </c>
      <c r="AL54" s="6" t="s">
        <v>134</v>
      </c>
      <c r="AM54" s="83">
        <f>39+3/7</f>
        <v>39.428571428571431</v>
      </c>
      <c r="AN54" s="6"/>
      <c r="AO54" s="159">
        <v>0</v>
      </c>
      <c r="AW54" s="133" t="s">
        <v>670</v>
      </c>
    </row>
    <row r="55" spans="1:51" x14ac:dyDescent="0.25">
      <c r="A55" s="60">
        <v>526422</v>
      </c>
      <c r="B55" s="58" t="s">
        <v>8</v>
      </c>
      <c r="C55" s="6" t="s">
        <v>39</v>
      </c>
      <c r="D55" s="14">
        <v>45382</v>
      </c>
      <c r="E55" s="14">
        <v>45569</v>
      </c>
      <c r="F55" s="6" t="s">
        <v>77</v>
      </c>
      <c r="G55" s="14">
        <v>31034</v>
      </c>
      <c r="H55" s="44">
        <f t="shared" si="2"/>
        <v>39</v>
      </c>
      <c r="I55" s="6">
        <v>3</v>
      </c>
      <c r="J55" s="6">
        <v>32</v>
      </c>
      <c r="K55" s="6" t="s">
        <v>30</v>
      </c>
      <c r="L55" s="6" t="s">
        <v>78</v>
      </c>
      <c r="M55" s="6" t="s">
        <v>4</v>
      </c>
      <c r="N55" s="27"/>
      <c r="O55" s="6"/>
      <c r="P55" s="83">
        <f>28+5/7</f>
        <v>28.714285714285715</v>
      </c>
      <c r="Q55" s="6">
        <v>2</v>
      </c>
      <c r="R55" s="6">
        <v>0</v>
      </c>
      <c r="S55" s="6">
        <v>1</v>
      </c>
      <c r="T55" s="6" t="s">
        <v>80</v>
      </c>
      <c r="U55" s="6" t="s">
        <v>95</v>
      </c>
      <c r="V55" s="6" t="s">
        <v>78</v>
      </c>
      <c r="W55" s="6" t="s">
        <v>559</v>
      </c>
      <c r="X55" s="6" t="s">
        <v>82</v>
      </c>
      <c r="Y55" s="6" t="s">
        <v>351</v>
      </c>
      <c r="Z55" s="6" t="s">
        <v>39</v>
      </c>
      <c r="AA55" s="14">
        <v>45647</v>
      </c>
      <c r="AB55" s="83">
        <f>39+5/7</f>
        <v>39.714285714285715</v>
      </c>
      <c r="AC55" s="6"/>
      <c r="AD55" s="6" t="s">
        <v>134</v>
      </c>
      <c r="AE55" s="44">
        <f t="shared" si="4"/>
        <v>78</v>
      </c>
      <c r="AF55" s="6">
        <v>0</v>
      </c>
      <c r="AG55" s="6"/>
      <c r="AH55" s="6" t="s">
        <v>80</v>
      </c>
      <c r="AI55" s="6" t="s">
        <v>559</v>
      </c>
      <c r="AJ55" s="6" t="s">
        <v>82</v>
      </c>
      <c r="AK55" s="6" t="s">
        <v>351</v>
      </c>
      <c r="AL55" s="6" t="s">
        <v>134</v>
      </c>
      <c r="AM55" s="83">
        <f>39+6/7</f>
        <v>39.857142857142854</v>
      </c>
      <c r="AN55" s="6"/>
      <c r="AO55" s="159">
        <v>1</v>
      </c>
    </row>
    <row r="56" spans="1:51" ht="120" x14ac:dyDescent="0.25">
      <c r="A56" s="57">
        <v>514329</v>
      </c>
      <c r="B56" s="58" t="s">
        <v>23</v>
      </c>
      <c r="C56" s="6" t="s">
        <v>39</v>
      </c>
      <c r="D56" s="14">
        <v>45191</v>
      </c>
      <c r="E56" s="14">
        <v>45373</v>
      </c>
      <c r="F56" s="6" t="s">
        <v>77</v>
      </c>
      <c r="G56" s="14">
        <v>30257</v>
      </c>
      <c r="H56" s="44">
        <f t="shared" si="2"/>
        <v>40</v>
      </c>
      <c r="I56" s="6">
        <v>3</v>
      </c>
      <c r="J56" s="6">
        <v>25</v>
      </c>
      <c r="K56" s="6" t="s">
        <v>30</v>
      </c>
      <c r="L56" s="6" t="s">
        <v>78</v>
      </c>
      <c r="M56" s="6"/>
      <c r="N56" s="6"/>
      <c r="O56" s="6"/>
      <c r="P56" s="83">
        <v>28</v>
      </c>
      <c r="Q56" s="6">
        <v>2</v>
      </c>
      <c r="R56" s="6">
        <v>0</v>
      </c>
      <c r="S56" s="6">
        <v>1</v>
      </c>
      <c r="T56" s="6" t="s">
        <v>80</v>
      </c>
      <c r="U56" s="6" t="s">
        <v>95</v>
      </c>
      <c r="V56" s="6" t="s">
        <v>78</v>
      </c>
      <c r="W56" s="6" t="s">
        <v>559</v>
      </c>
      <c r="X56" s="6" t="s">
        <v>82</v>
      </c>
      <c r="Y56" s="6" t="s">
        <v>373</v>
      </c>
      <c r="Z56" s="6" t="s">
        <v>39</v>
      </c>
      <c r="AA56" s="14">
        <v>45446</v>
      </c>
      <c r="AB56" s="83">
        <f>40+1/7</f>
        <v>40.142857142857146</v>
      </c>
      <c r="AC56" s="6"/>
      <c r="AD56" s="6" t="s">
        <v>207</v>
      </c>
      <c r="AE56" s="44">
        <f t="shared" si="4"/>
        <v>73</v>
      </c>
      <c r="AF56" s="6">
        <v>3</v>
      </c>
      <c r="AG56" s="27" t="s">
        <v>587</v>
      </c>
      <c r="AH56" s="6" t="s">
        <v>80</v>
      </c>
      <c r="AI56" s="27" t="s">
        <v>558</v>
      </c>
      <c r="AJ56" s="6" t="s">
        <v>82</v>
      </c>
      <c r="AK56" s="6" t="s">
        <v>373</v>
      </c>
      <c r="AL56" s="6" t="s">
        <v>207</v>
      </c>
      <c r="AM56" s="83">
        <f>40+1/7</f>
        <v>40.142857142857146</v>
      </c>
      <c r="AN56" s="6" t="s">
        <v>343</v>
      </c>
      <c r="AO56" s="159">
        <v>0</v>
      </c>
    </row>
    <row r="57" spans="1:51" x14ac:dyDescent="0.25">
      <c r="A57" s="57">
        <v>518318</v>
      </c>
      <c r="B57" s="58" t="s">
        <v>8</v>
      </c>
      <c r="C57" s="6" t="s">
        <v>39</v>
      </c>
      <c r="D57" s="14">
        <v>45239</v>
      </c>
      <c r="E57" s="14">
        <v>45420</v>
      </c>
      <c r="F57" s="6" t="s">
        <v>77</v>
      </c>
      <c r="G57" s="14">
        <v>30496</v>
      </c>
      <c r="H57" s="44">
        <f t="shared" si="2"/>
        <v>40</v>
      </c>
      <c r="I57" s="6">
        <v>4</v>
      </c>
      <c r="J57" s="6">
        <v>31</v>
      </c>
      <c r="K57" s="6" t="s">
        <v>30</v>
      </c>
      <c r="L57" s="6" t="s">
        <v>78</v>
      </c>
      <c r="M57" s="6"/>
      <c r="N57" s="6" t="s">
        <v>154</v>
      </c>
      <c r="O57" s="6"/>
      <c r="P57" s="83">
        <f>27+6/7</f>
        <v>27.857142857142858</v>
      </c>
      <c r="Q57" s="6">
        <v>2</v>
      </c>
      <c r="R57" s="6">
        <v>0</v>
      </c>
      <c r="S57" s="6">
        <v>1</v>
      </c>
      <c r="T57" s="6" t="s">
        <v>80</v>
      </c>
      <c r="U57" s="6" t="s">
        <v>95</v>
      </c>
      <c r="V57" s="6" t="s">
        <v>78</v>
      </c>
      <c r="W57" s="6" t="s">
        <v>559</v>
      </c>
      <c r="X57" s="6" t="s">
        <v>82</v>
      </c>
      <c r="Y57" s="6" t="s">
        <v>351</v>
      </c>
      <c r="Z57" s="6" t="s">
        <v>39</v>
      </c>
      <c r="AA57" s="14">
        <v>45506</v>
      </c>
      <c r="AB57" s="83">
        <f>40+2/7</f>
        <v>40.285714285714285</v>
      </c>
      <c r="AC57" s="6"/>
      <c r="AD57" s="6" t="s">
        <v>134</v>
      </c>
      <c r="AE57" s="44">
        <f t="shared" si="4"/>
        <v>86</v>
      </c>
      <c r="AF57" s="6">
        <v>0</v>
      </c>
      <c r="AG57" s="6"/>
      <c r="AH57" s="6" t="s">
        <v>80</v>
      </c>
      <c r="AI57" s="6" t="s">
        <v>559</v>
      </c>
      <c r="AJ57" s="6" t="s">
        <v>82</v>
      </c>
      <c r="AK57" s="6" t="s">
        <v>351</v>
      </c>
      <c r="AL57" s="6" t="s">
        <v>134</v>
      </c>
      <c r="AM57" s="83">
        <f>40+2/7</f>
        <v>40.285714285714285</v>
      </c>
      <c r="AN57" s="6"/>
      <c r="AO57" s="159">
        <v>0</v>
      </c>
    </row>
    <row r="58" spans="1:51" x14ac:dyDescent="0.25">
      <c r="A58" s="57">
        <v>511909</v>
      </c>
      <c r="B58" s="58" t="s">
        <v>8</v>
      </c>
      <c r="C58" s="6" t="s">
        <v>5</v>
      </c>
      <c r="D58" s="14">
        <v>45123</v>
      </c>
      <c r="E58" s="14">
        <v>45307</v>
      </c>
      <c r="F58" s="6" t="s">
        <v>77</v>
      </c>
      <c r="G58" s="14">
        <v>32794</v>
      </c>
      <c r="H58" s="44">
        <f t="shared" si="2"/>
        <v>33</v>
      </c>
      <c r="I58" s="6">
        <v>1</v>
      </c>
      <c r="J58" s="6">
        <v>40</v>
      </c>
      <c r="K58" s="6" t="s">
        <v>30</v>
      </c>
      <c r="L58" s="6" t="s">
        <v>78</v>
      </c>
      <c r="M58" s="6" t="s">
        <v>4</v>
      </c>
      <c r="N58" s="6"/>
      <c r="O58" s="6"/>
      <c r="P58" s="83">
        <f>28+4/7</f>
        <v>28.571428571428573</v>
      </c>
      <c r="Q58" s="6">
        <v>2</v>
      </c>
      <c r="R58" s="6">
        <v>0</v>
      </c>
      <c r="S58" s="6">
        <v>1</v>
      </c>
      <c r="T58" s="6" t="s">
        <v>80</v>
      </c>
      <c r="U58" s="6" t="s">
        <v>95</v>
      </c>
      <c r="V58" s="6" t="s">
        <v>78</v>
      </c>
      <c r="W58" s="27" t="s">
        <v>558</v>
      </c>
      <c r="X58" s="6" t="s">
        <v>82</v>
      </c>
      <c r="Y58" s="6" t="s">
        <v>351</v>
      </c>
      <c r="Z58" s="6" t="s">
        <v>39</v>
      </c>
      <c r="AA58" s="14">
        <v>45380</v>
      </c>
      <c r="AB58" s="83">
        <f>40+2/7</f>
        <v>40.285714285714285</v>
      </c>
      <c r="AC58" s="6"/>
      <c r="AD58" s="6" t="s">
        <v>134</v>
      </c>
      <c r="AE58" s="44">
        <f t="shared" si="4"/>
        <v>73</v>
      </c>
      <c r="AF58" s="6">
        <v>0</v>
      </c>
      <c r="AG58" s="6"/>
      <c r="AH58" s="6" t="s">
        <v>80</v>
      </c>
      <c r="AI58" s="27" t="s">
        <v>558</v>
      </c>
      <c r="AJ58" s="6" t="s">
        <v>82</v>
      </c>
      <c r="AK58" s="6" t="s">
        <v>351</v>
      </c>
      <c r="AL58" s="6" t="s">
        <v>134</v>
      </c>
      <c r="AM58" s="83">
        <f>40+2/7</f>
        <v>40.285714285714285</v>
      </c>
      <c r="AN58" s="6"/>
      <c r="AO58" s="159">
        <v>0</v>
      </c>
    </row>
    <row r="59" spans="1:51" x14ac:dyDescent="0.25">
      <c r="A59" s="57">
        <v>520145</v>
      </c>
      <c r="B59" s="58" t="s">
        <v>8</v>
      </c>
      <c r="C59" s="6" t="s">
        <v>39</v>
      </c>
      <c r="D59" s="14">
        <v>45241</v>
      </c>
      <c r="E59" s="14">
        <v>45429</v>
      </c>
      <c r="F59" s="6" t="s">
        <v>77</v>
      </c>
      <c r="G59" s="14">
        <v>28942</v>
      </c>
      <c r="H59" s="44">
        <f t="shared" si="2"/>
        <v>44</v>
      </c>
      <c r="I59" s="6">
        <v>3</v>
      </c>
      <c r="J59" s="6">
        <v>27</v>
      </c>
      <c r="K59" s="6" t="s">
        <v>30</v>
      </c>
      <c r="L59" s="6" t="s">
        <v>78</v>
      </c>
      <c r="M59" s="6"/>
      <c r="N59" s="6"/>
      <c r="O59" s="6"/>
      <c r="P59" s="83">
        <f>28+6/7</f>
        <v>28.857142857142858</v>
      </c>
      <c r="Q59" s="6">
        <v>2</v>
      </c>
      <c r="R59" s="6">
        <v>0</v>
      </c>
      <c r="S59" s="6">
        <v>1</v>
      </c>
      <c r="T59" s="6" t="s">
        <v>80</v>
      </c>
      <c r="U59" s="6" t="s">
        <v>95</v>
      </c>
      <c r="V59" s="6" t="s">
        <v>78</v>
      </c>
      <c r="W59" s="6" t="s">
        <v>559</v>
      </c>
      <c r="X59" s="6" t="s">
        <v>82</v>
      </c>
      <c r="Y59" s="6" t="s">
        <v>351</v>
      </c>
      <c r="Z59" s="6" t="s">
        <v>39</v>
      </c>
      <c r="AA59" s="14">
        <v>45512</v>
      </c>
      <c r="AB59" s="83">
        <v>41</v>
      </c>
      <c r="AC59" s="6"/>
      <c r="AD59" s="6" t="s">
        <v>207</v>
      </c>
      <c r="AE59" s="44">
        <f t="shared" si="4"/>
        <v>83</v>
      </c>
      <c r="AF59" s="6">
        <v>0</v>
      </c>
      <c r="AG59" s="6"/>
      <c r="AH59" s="6" t="s">
        <v>80</v>
      </c>
      <c r="AI59" s="27" t="s">
        <v>559</v>
      </c>
      <c r="AJ59" s="6" t="s">
        <v>82</v>
      </c>
      <c r="AK59" s="6" t="s">
        <v>351</v>
      </c>
      <c r="AL59" s="6" t="s">
        <v>347</v>
      </c>
      <c r="AM59" s="83">
        <v>41</v>
      </c>
      <c r="AN59" s="6" t="s">
        <v>347</v>
      </c>
      <c r="AO59" s="159">
        <v>0</v>
      </c>
    </row>
    <row r="60" spans="1:51" ht="75" x14ac:dyDescent="0.25">
      <c r="A60" s="57">
        <v>518898</v>
      </c>
      <c r="B60" s="58" t="s">
        <v>8</v>
      </c>
      <c r="C60" s="6" t="s">
        <v>39</v>
      </c>
      <c r="D60" s="14">
        <v>45169</v>
      </c>
      <c r="E60" s="14">
        <v>45394</v>
      </c>
      <c r="F60" s="6" t="s">
        <v>77</v>
      </c>
      <c r="G60" s="14">
        <v>32190</v>
      </c>
      <c r="H60" s="44">
        <f t="shared" si="2"/>
        <v>35</v>
      </c>
      <c r="I60" s="6">
        <v>0</v>
      </c>
      <c r="J60" s="6">
        <v>43</v>
      </c>
      <c r="K60" s="6" t="s">
        <v>30</v>
      </c>
      <c r="L60" s="6" t="s">
        <v>78</v>
      </c>
      <c r="M60" s="6"/>
      <c r="N60" s="6" t="s">
        <v>154</v>
      </c>
      <c r="O60" s="6"/>
      <c r="P60" s="83">
        <f>32+1/7</f>
        <v>32.142857142857146</v>
      </c>
      <c r="Q60" s="6">
        <v>2</v>
      </c>
      <c r="R60" s="6">
        <v>0</v>
      </c>
      <c r="S60" s="6">
        <v>2</v>
      </c>
      <c r="T60" s="6" t="s">
        <v>80</v>
      </c>
      <c r="U60" s="6" t="s">
        <v>165</v>
      </c>
      <c r="V60" s="6" t="s">
        <v>77</v>
      </c>
      <c r="W60" s="27" t="s">
        <v>558</v>
      </c>
      <c r="X60" s="6" t="s">
        <v>361</v>
      </c>
      <c r="Y60" s="6">
        <v>1.2</v>
      </c>
      <c r="Z60" s="6" t="s">
        <v>4</v>
      </c>
      <c r="AA60" s="14">
        <v>45398</v>
      </c>
      <c r="AB60" s="83">
        <f>34+5/7</f>
        <v>34.714285714285715</v>
      </c>
      <c r="AC60" s="6"/>
      <c r="AD60" s="6" t="s">
        <v>565</v>
      </c>
      <c r="AE60" s="44">
        <f t="shared" si="4"/>
        <v>4</v>
      </c>
      <c r="AF60" s="6">
        <v>2</v>
      </c>
      <c r="AG60" s="27" t="s">
        <v>510</v>
      </c>
      <c r="AH60" s="6" t="s">
        <v>80</v>
      </c>
      <c r="AI60" s="27" t="s">
        <v>558</v>
      </c>
      <c r="AJ60" s="6" t="s">
        <v>82</v>
      </c>
      <c r="AK60" s="6">
        <v>0.8</v>
      </c>
      <c r="AL60" s="6" t="s">
        <v>343</v>
      </c>
      <c r="AM60" s="154" t="s">
        <v>208</v>
      </c>
      <c r="AN60" s="161" t="s">
        <v>208</v>
      </c>
      <c r="AO60" s="162" t="s">
        <v>208</v>
      </c>
    </row>
  </sheetData>
  <autoFilter ref="A1:AO1" xr:uid="{5E74EBFB-99DA-40B4-80E1-67497BA2529C}">
    <sortState ref="A2:AO60">
      <sortCondition ref="AM1"/>
    </sortState>
  </autoFilter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A476-57F6-4117-8C9C-BA9CE49C34E1}">
  <dimension ref="A1:BM68"/>
  <sheetViews>
    <sheetView topLeftCell="AI27" workbookViewId="0">
      <selection activeCell="AQ1" sqref="AQ1:BM55"/>
    </sheetView>
  </sheetViews>
  <sheetFormatPr baseColWidth="10" defaultRowHeight="15" x14ac:dyDescent="0.25"/>
  <cols>
    <col min="3" max="7" width="0" hidden="1" customWidth="1"/>
    <col min="27" max="27" width="0" hidden="1" customWidth="1"/>
  </cols>
  <sheetData>
    <row r="1" spans="1:65" ht="90.75" thickBot="1" x14ac:dyDescent="0.3">
      <c r="A1" s="28" t="s">
        <v>0</v>
      </c>
      <c r="B1" s="18" t="s">
        <v>1</v>
      </c>
      <c r="C1" s="18" t="s">
        <v>36</v>
      </c>
      <c r="D1" s="18" t="s">
        <v>40</v>
      </c>
      <c r="E1" s="18" t="s">
        <v>2</v>
      </c>
      <c r="F1" s="18" t="s">
        <v>37</v>
      </c>
      <c r="G1" s="19" t="s">
        <v>29</v>
      </c>
      <c r="H1" s="19" t="s">
        <v>126</v>
      </c>
      <c r="I1" s="19" t="s">
        <v>11</v>
      </c>
      <c r="J1" s="19" t="s">
        <v>12</v>
      </c>
      <c r="K1" s="19" t="s">
        <v>13</v>
      </c>
      <c r="L1" s="19" t="s">
        <v>35</v>
      </c>
      <c r="M1" s="19" t="s">
        <v>534</v>
      </c>
      <c r="N1" s="19" t="s">
        <v>535</v>
      </c>
      <c r="O1" s="19" t="s">
        <v>15</v>
      </c>
      <c r="P1" s="20" t="s">
        <v>38</v>
      </c>
      <c r="Q1" s="20" t="s">
        <v>16</v>
      </c>
      <c r="R1" s="20" t="s">
        <v>17</v>
      </c>
      <c r="S1" s="20" t="s">
        <v>18</v>
      </c>
      <c r="T1" s="21" t="s">
        <v>25</v>
      </c>
      <c r="U1" s="22" t="s">
        <v>33</v>
      </c>
      <c r="V1" s="22" t="s">
        <v>75</v>
      </c>
      <c r="W1" s="21" t="s">
        <v>26</v>
      </c>
      <c r="X1" s="21" t="s">
        <v>27</v>
      </c>
      <c r="Y1" s="21" t="s">
        <v>28</v>
      </c>
      <c r="Z1" s="21" t="s">
        <v>34</v>
      </c>
      <c r="AA1" s="23" t="s">
        <v>32</v>
      </c>
      <c r="AB1" s="23" t="s">
        <v>19</v>
      </c>
      <c r="AC1" s="23" t="s">
        <v>20</v>
      </c>
      <c r="AD1" s="23" t="s">
        <v>21</v>
      </c>
      <c r="AE1" s="23" t="s">
        <v>22</v>
      </c>
      <c r="AF1" s="38" t="s">
        <v>255</v>
      </c>
      <c r="AG1" s="38" t="s">
        <v>256</v>
      </c>
      <c r="AH1" s="23" t="s">
        <v>41</v>
      </c>
      <c r="AI1" s="23" t="s">
        <v>26</v>
      </c>
      <c r="AJ1" s="23" t="s">
        <v>31</v>
      </c>
      <c r="AK1" s="23" t="s">
        <v>91</v>
      </c>
      <c r="AL1" s="39" t="s">
        <v>254</v>
      </c>
      <c r="AM1" s="39" t="s">
        <v>265</v>
      </c>
      <c r="AN1" s="79" t="s">
        <v>549</v>
      </c>
      <c r="AO1" s="190" t="s">
        <v>767</v>
      </c>
      <c r="AQ1" s="169" t="s">
        <v>738</v>
      </c>
      <c r="AR1" s="170"/>
      <c r="AS1" s="170" t="s">
        <v>739</v>
      </c>
      <c r="AT1" s="171"/>
      <c r="AU1" s="172"/>
      <c r="AV1" s="173" t="s">
        <v>748</v>
      </c>
      <c r="BF1" s="146" t="s">
        <v>734</v>
      </c>
      <c r="BG1" s="149" t="s">
        <v>39</v>
      </c>
      <c r="BH1" s="149" t="s">
        <v>76</v>
      </c>
      <c r="BI1" s="149" t="s">
        <v>4</v>
      </c>
      <c r="BJ1" s="150" t="s">
        <v>735</v>
      </c>
    </row>
    <row r="2" spans="1:65" ht="45.75" thickBot="1" x14ac:dyDescent="0.3">
      <c r="A2" s="61">
        <v>515555</v>
      </c>
      <c r="B2" s="6" t="s">
        <v>7</v>
      </c>
      <c r="C2" s="27" t="s">
        <v>4</v>
      </c>
      <c r="D2" s="14">
        <v>45472</v>
      </c>
      <c r="E2" s="14">
        <v>45345</v>
      </c>
      <c r="F2" s="6" t="s">
        <v>77</v>
      </c>
      <c r="G2" s="14">
        <v>36510</v>
      </c>
      <c r="H2" s="44">
        <f t="shared" ref="H2:H36" si="0">DATEDIF(G2,D2,"Y")</f>
        <v>24</v>
      </c>
      <c r="I2" s="6">
        <v>0</v>
      </c>
      <c r="J2" s="6">
        <v>33</v>
      </c>
      <c r="K2" s="6" t="s">
        <v>30</v>
      </c>
      <c r="L2" s="6" t="s">
        <v>78</v>
      </c>
      <c r="M2" s="6"/>
      <c r="N2" s="6" t="s">
        <v>92</v>
      </c>
      <c r="O2" s="27" t="s">
        <v>538</v>
      </c>
      <c r="P2" s="83">
        <f>35+5/7</f>
        <v>35.714285714285715</v>
      </c>
      <c r="Q2" s="6">
        <v>3</v>
      </c>
      <c r="R2" s="6">
        <v>1</v>
      </c>
      <c r="S2" s="6">
        <v>1</v>
      </c>
      <c r="T2" s="6" t="s">
        <v>84</v>
      </c>
      <c r="U2" s="6" t="s">
        <v>165</v>
      </c>
      <c r="V2" s="6" t="s">
        <v>78</v>
      </c>
      <c r="W2" s="5" t="s">
        <v>559</v>
      </c>
      <c r="X2" s="13" t="s">
        <v>292</v>
      </c>
      <c r="Y2" s="5" t="s">
        <v>294</v>
      </c>
      <c r="Z2" s="46" t="s">
        <v>4</v>
      </c>
      <c r="AA2" s="12">
        <v>45350</v>
      </c>
      <c r="AB2" s="83">
        <f>36+6/7</f>
        <v>36.857142857142854</v>
      </c>
      <c r="AC2" s="6"/>
      <c r="AD2" s="6" t="s">
        <v>207</v>
      </c>
      <c r="AE2" s="44">
        <f t="shared" ref="AE2:AE36" si="1">DATEDIF(E2,AA2,"D")</f>
        <v>5</v>
      </c>
      <c r="AF2" s="44">
        <v>1</v>
      </c>
      <c r="AG2" s="27" t="s">
        <v>289</v>
      </c>
      <c r="AH2" s="6" t="s">
        <v>84</v>
      </c>
      <c r="AI2" s="6" t="s">
        <v>559</v>
      </c>
      <c r="AJ2" s="27" t="s">
        <v>293</v>
      </c>
      <c r="AK2" s="6" t="s">
        <v>291</v>
      </c>
      <c r="AL2" s="6" t="s">
        <v>207</v>
      </c>
      <c r="AM2" s="83">
        <f>37+2/7</f>
        <v>37.285714285714285</v>
      </c>
      <c r="AN2" s="6" t="s">
        <v>84</v>
      </c>
      <c r="AO2" s="6">
        <v>3</v>
      </c>
      <c r="AQ2" s="174" t="s">
        <v>684</v>
      </c>
      <c r="AR2" s="175"/>
      <c r="AS2" s="175" t="s">
        <v>591</v>
      </c>
      <c r="AT2" s="176" t="s">
        <v>740</v>
      </c>
      <c r="AU2" s="177"/>
      <c r="AV2" s="172"/>
      <c r="BF2" s="147" t="s">
        <v>731</v>
      </c>
      <c r="BG2" s="5">
        <v>2</v>
      </c>
      <c r="BH2" s="5">
        <v>2</v>
      </c>
      <c r="BI2" s="5">
        <v>2</v>
      </c>
      <c r="BJ2" s="68">
        <v>6</v>
      </c>
    </row>
    <row r="3" spans="1:65" ht="15.75" thickBot="1" x14ac:dyDescent="0.3">
      <c r="A3" s="57">
        <v>519588</v>
      </c>
      <c r="B3" s="6" t="s">
        <v>7</v>
      </c>
      <c r="C3" s="6" t="s">
        <v>4</v>
      </c>
      <c r="D3" s="14">
        <v>45218</v>
      </c>
      <c r="E3" s="14">
        <v>45426</v>
      </c>
      <c r="F3" s="6" t="s">
        <v>77</v>
      </c>
      <c r="G3" s="14">
        <v>33908</v>
      </c>
      <c r="H3" s="44">
        <f t="shared" si="0"/>
        <v>30</v>
      </c>
      <c r="I3" s="6">
        <v>1</v>
      </c>
      <c r="J3" s="6">
        <v>21</v>
      </c>
      <c r="K3" s="6" t="s">
        <v>30</v>
      </c>
      <c r="L3" s="6" t="s">
        <v>78</v>
      </c>
      <c r="M3" s="6"/>
      <c r="N3" s="6" t="s">
        <v>92</v>
      </c>
      <c r="O3" s="6"/>
      <c r="P3" s="83">
        <f>33+1/7</f>
        <v>33.142857142857146</v>
      </c>
      <c r="Q3" s="6">
        <v>3</v>
      </c>
      <c r="R3" s="6">
        <v>1</v>
      </c>
      <c r="S3" s="6">
        <v>2</v>
      </c>
      <c r="T3" s="6" t="s">
        <v>80</v>
      </c>
      <c r="U3" s="6" t="s">
        <v>165</v>
      </c>
      <c r="V3" s="6" t="s">
        <v>77</v>
      </c>
      <c r="W3" s="13" t="s">
        <v>558</v>
      </c>
      <c r="X3" s="6" t="s">
        <v>82</v>
      </c>
      <c r="Y3" s="6" t="s">
        <v>205</v>
      </c>
      <c r="Z3" s="8" t="s">
        <v>4</v>
      </c>
      <c r="AA3" s="12">
        <v>45431</v>
      </c>
      <c r="AB3" s="83">
        <f>33+6/7</f>
        <v>33.857142857142854</v>
      </c>
      <c r="AC3" s="6"/>
      <c r="AD3" s="27" t="s">
        <v>616</v>
      </c>
      <c r="AE3" s="44">
        <f t="shared" si="1"/>
        <v>5</v>
      </c>
      <c r="AF3" s="44">
        <v>1</v>
      </c>
      <c r="AG3" s="6" t="s">
        <v>765</v>
      </c>
      <c r="AH3" s="6" t="s">
        <v>80</v>
      </c>
      <c r="AI3" s="27" t="s">
        <v>558</v>
      </c>
      <c r="AJ3" s="6" t="s">
        <v>82</v>
      </c>
      <c r="AK3" s="6" t="s">
        <v>204</v>
      </c>
      <c r="AL3" s="6" t="s">
        <v>631</v>
      </c>
      <c r="AM3" s="83">
        <v>34</v>
      </c>
      <c r="AN3" s="6" t="s">
        <v>329</v>
      </c>
      <c r="AO3" s="6">
        <v>1</v>
      </c>
      <c r="AQ3" s="169" t="s">
        <v>743</v>
      </c>
      <c r="AR3" s="170" t="s">
        <v>741</v>
      </c>
      <c r="AS3" s="170"/>
      <c r="AT3" s="170" t="s">
        <v>742</v>
      </c>
      <c r="AU3" s="171" t="s">
        <v>596</v>
      </c>
      <c r="AV3" s="171"/>
      <c r="BF3" s="147" t="s">
        <v>730</v>
      </c>
      <c r="BG3" s="5">
        <v>9</v>
      </c>
      <c r="BH3" s="5">
        <v>7</v>
      </c>
      <c r="BI3" s="5">
        <v>0</v>
      </c>
      <c r="BJ3" s="68">
        <v>16</v>
      </c>
    </row>
    <row r="4" spans="1:65" ht="30.75" thickBot="1" x14ac:dyDescent="0.3">
      <c r="A4" s="57">
        <v>480470</v>
      </c>
      <c r="B4" s="6" t="s">
        <v>7</v>
      </c>
      <c r="C4" s="27" t="s">
        <v>5</v>
      </c>
      <c r="D4" s="14">
        <v>45201</v>
      </c>
      <c r="E4" s="14">
        <v>45432</v>
      </c>
      <c r="F4" s="6" t="s">
        <v>77</v>
      </c>
      <c r="G4" s="14">
        <v>33972</v>
      </c>
      <c r="H4" s="44">
        <f t="shared" si="0"/>
        <v>30</v>
      </c>
      <c r="I4" s="6">
        <v>1</v>
      </c>
      <c r="J4" s="6">
        <v>28</v>
      </c>
      <c r="K4" s="6" t="s">
        <v>30</v>
      </c>
      <c r="L4" s="6" t="s">
        <v>78</v>
      </c>
      <c r="M4" s="27" t="s">
        <v>220</v>
      </c>
      <c r="N4" s="6" t="s">
        <v>92</v>
      </c>
      <c r="O4" s="6"/>
      <c r="P4" s="83">
        <v>35</v>
      </c>
      <c r="Q4" s="6">
        <v>3</v>
      </c>
      <c r="R4" s="6">
        <v>1</v>
      </c>
      <c r="S4" s="6">
        <v>1</v>
      </c>
      <c r="T4" s="6" t="s">
        <v>80</v>
      </c>
      <c r="U4" s="6" t="s">
        <v>165</v>
      </c>
      <c r="V4" s="6" t="s">
        <v>78</v>
      </c>
      <c r="W4" s="5" t="s">
        <v>559</v>
      </c>
      <c r="X4" s="6" t="s">
        <v>82</v>
      </c>
      <c r="Y4" s="5" t="s">
        <v>373</v>
      </c>
      <c r="Z4" s="8" t="s">
        <v>76</v>
      </c>
      <c r="AA4" s="12">
        <v>45463</v>
      </c>
      <c r="AB4" s="83">
        <f>39+3/7</f>
        <v>39.428571428571431</v>
      </c>
      <c r="AC4" s="6"/>
      <c r="AD4" s="6" t="s">
        <v>207</v>
      </c>
      <c r="AE4" s="44">
        <f t="shared" si="1"/>
        <v>31</v>
      </c>
      <c r="AF4" s="44">
        <v>0</v>
      </c>
      <c r="AG4" s="6"/>
      <c r="AH4" s="6" t="s">
        <v>80</v>
      </c>
      <c r="AI4" s="6" t="s">
        <v>559</v>
      </c>
      <c r="AJ4" s="6" t="s">
        <v>82</v>
      </c>
      <c r="AK4" s="6" t="s">
        <v>83</v>
      </c>
      <c r="AL4" s="6" t="s">
        <v>207</v>
      </c>
      <c r="AM4" s="83">
        <f>39+5/7</f>
        <v>39.714285714285715</v>
      </c>
      <c r="AN4" s="6" t="s">
        <v>39</v>
      </c>
      <c r="AO4" s="6">
        <v>2</v>
      </c>
      <c r="AQ4" s="54"/>
      <c r="AR4" s="54"/>
      <c r="AS4" s="54"/>
      <c r="AT4" s="54"/>
      <c r="AU4" s="54"/>
      <c r="BF4" s="147" t="s">
        <v>732</v>
      </c>
      <c r="BG4" s="5">
        <v>1</v>
      </c>
      <c r="BH4" s="5">
        <v>0</v>
      </c>
      <c r="BI4" s="5">
        <v>0</v>
      </c>
      <c r="BJ4" s="68">
        <v>1</v>
      </c>
    </row>
    <row r="5" spans="1:65" ht="60" x14ac:dyDescent="0.25">
      <c r="A5" s="64">
        <v>527855</v>
      </c>
      <c r="B5" s="6" t="s">
        <v>7</v>
      </c>
      <c r="C5" s="6" t="s">
        <v>76</v>
      </c>
      <c r="D5" s="14">
        <v>45391</v>
      </c>
      <c r="E5" s="14">
        <v>45590</v>
      </c>
      <c r="F5" s="6" t="s">
        <v>77</v>
      </c>
      <c r="G5" s="14">
        <v>30469</v>
      </c>
      <c r="H5" s="44">
        <f t="shared" si="0"/>
        <v>40</v>
      </c>
      <c r="I5" s="6">
        <v>3</v>
      </c>
      <c r="J5" s="6">
        <v>31</v>
      </c>
      <c r="K5" s="6" t="s">
        <v>30</v>
      </c>
      <c r="L5" s="6" t="s">
        <v>78</v>
      </c>
      <c r="M5" s="6" t="s">
        <v>4</v>
      </c>
      <c r="N5" s="6"/>
      <c r="O5" s="6"/>
      <c r="P5" s="83">
        <f>30+3/7</f>
        <v>30.428571428571427</v>
      </c>
      <c r="Q5" s="6">
        <v>3</v>
      </c>
      <c r="R5" s="6">
        <v>1</v>
      </c>
      <c r="S5" s="6">
        <v>1</v>
      </c>
      <c r="T5" s="6" t="s">
        <v>80</v>
      </c>
      <c r="U5" s="6" t="s">
        <v>165</v>
      </c>
      <c r="V5" s="6" t="s">
        <v>77</v>
      </c>
      <c r="W5" s="5" t="s">
        <v>559</v>
      </c>
      <c r="X5" s="5" t="s">
        <v>82</v>
      </c>
      <c r="Y5" s="5" t="s">
        <v>373</v>
      </c>
      <c r="Z5" s="8" t="s">
        <v>76</v>
      </c>
      <c r="AA5" s="12">
        <v>45605</v>
      </c>
      <c r="AB5" s="83">
        <f>32+4/7</f>
        <v>32.571428571428569</v>
      </c>
      <c r="AC5" s="6"/>
      <c r="AD5" s="27" t="s">
        <v>616</v>
      </c>
      <c r="AE5" s="44">
        <f t="shared" si="1"/>
        <v>15</v>
      </c>
      <c r="AF5" s="44">
        <v>2</v>
      </c>
      <c r="AG5" s="27" t="s">
        <v>331</v>
      </c>
      <c r="AH5" s="6" t="s">
        <v>80</v>
      </c>
      <c r="AI5" s="6" t="s">
        <v>559</v>
      </c>
      <c r="AJ5" s="6" t="s">
        <v>82</v>
      </c>
      <c r="AK5" s="6" t="s">
        <v>83</v>
      </c>
      <c r="AL5" s="6" t="s">
        <v>332</v>
      </c>
      <c r="AM5" s="83">
        <f>32+5/7</f>
        <v>32.714285714285715</v>
      </c>
      <c r="AN5" s="6" t="s">
        <v>332</v>
      </c>
      <c r="AO5" s="6">
        <v>1</v>
      </c>
      <c r="AQ5" s="174" t="s">
        <v>26</v>
      </c>
      <c r="AR5" s="176"/>
      <c r="AS5" s="179" t="s">
        <v>626</v>
      </c>
      <c r="AT5" s="177" t="s">
        <v>749</v>
      </c>
      <c r="AU5" s="172"/>
      <c r="AV5" s="172"/>
      <c r="AW5" s="172"/>
      <c r="AX5" s="172"/>
      <c r="BF5" s="147" t="s">
        <v>733</v>
      </c>
      <c r="BG5" s="5">
        <v>8</v>
      </c>
      <c r="BH5" s="5">
        <v>4</v>
      </c>
      <c r="BI5" s="5">
        <v>0</v>
      </c>
      <c r="BJ5" s="68">
        <v>12</v>
      </c>
    </row>
    <row r="6" spans="1:65" ht="15.75" thickBot="1" x14ac:dyDescent="0.3">
      <c r="A6" s="57">
        <v>514593</v>
      </c>
      <c r="B6" s="58" t="s">
        <v>23</v>
      </c>
      <c r="C6" s="6" t="s">
        <v>76</v>
      </c>
      <c r="D6" s="14">
        <v>45107</v>
      </c>
      <c r="E6" s="14">
        <v>45351</v>
      </c>
      <c r="F6" s="6" t="s">
        <v>77</v>
      </c>
      <c r="G6" s="14">
        <v>31708</v>
      </c>
      <c r="H6" s="44">
        <f t="shared" si="0"/>
        <v>36</v>
      </c>
      <c r="I6" s="6">
        <v>1</v>
      </c>
      <c r="J6" s="6">
        <v>33</v>
      </c>
      <c r="K6" s="6" t="s">
        <v>30</v>
      </c>
      <c r="L6" s="6" t="s">
        <v>78</v>
      </c>
      <c r="M6" s="27" t="s">
        <v>76</v>
      </c>
      <c r="N6" s="6" t="s">
        <v>92</v>
      </c>
      <c r="O6" s="6" t="s">
        <v>84</v>
      </c>
      <c r="P6" s="83">
        <f>36+6/7</f>
        <v>36.857142857142854</v>
      </c>
      <c r="Q6" s="6">
        <v>3</v>
      </c>
      <c r="R6" s="6">
        <v>0</v>
      </c>
      <c r="S6" s="6">
        <v>1</v>
      </c>
      <c r="T6" s="6" t="s">
        <v>84</v>
      </c>
      <c r="U6" s="6" t="s">
        <v>165</v>
      </c>
      <c r="V6" s="6" t="s">
        <v>78</v>
      </c>
      <c r="W6" s="5" t="s">
        <v>559</v>
      </c>
      <c r="X6" s="5" t="s">
        <v>82</v>
      </c>
      <c r="Y6" s="5" t="s">
        <v>373</v>
      </c>
      <c r="Z6" s="8" t="s">
        <v>76</v>
      </c>
      <c r="AA6" s="12">
        <v>45364</v>
      </c>
      <c r="AB6" s="83">
        <f>38+6/7</f>
        <v>38.857142857142854</v>
      </c>
      <c r="AC6" s="6"/>
      <c r="AD6" s="6" t="s">
        <v>207</v>
      </c>
      <c r="AE6" s="44">
        <f t="shared" si="1"/>
        <v>13</v>
      </c>
      <c r="AF6" s="6">
        <v>0</v>
      </c>
      <c r="AG6" s="6"/>
      <c r="AH6" s="6" t="s">
        <v>84</v>
      </c>
      <c r="AI6" s="6" t="s">
        <v>559</v>
      </c>
      <c r="AJ6" s="6" t="s">
        <v>82</v>
      </c>
      <c r="AK6" s="6" t="s">
        <v>373</v>
      </c>
      <c r="AL6" s="6" t="s">
        <v>207</v>
      </c>
      <c r="AM6" s="83">
        <v>39</v>
      </c>
      <c r="AN6" s="6" t="s">
        <v>84</v>
      </c>
      <c r="AO6" s="6">
        <v>1</v>
      </c>
      <c r="AQ6" s="180" t="s">
        <v>110</v>
      </c>
      <c r="AR6" s="181">
        <v>0</v>
      </c>
      <c r="AS6" s="172"/>
      <c r="AT6" s="172"/>
      <c r="AU6" s="177"/>
      <c r="AV6" s="172"/>
      <c r="AW6" s="172"/>
      <c r="AX6" s="172"/>
      <c r="BF6" s="148" t="s">
        <v>736</v>
      </c>
      <c r="BG6" s="145">
        <f>SUM(BG2:BG5)</f>
        <v>20</v>
      </c>
      <c r="BH6" s="145">
        <f>SUM(BH2:BH5)</f>
        <v>13</v>
      </c>
      <c r="BI6" s="145">
        <f>SUM(BI2:BI5)</f>
        <v>2</v>
      </c>
      <c r="BJ6" s="68">
        <f>SUM(BJ2:BJ5)</f>
        <v>35</v>
      </c>
    </row>
    <row r="7" spans="1:65" ht="30" x14ac:dyDescent="0.25">
      <c r="A7" s="60">
        <v>523229</v>
      </c>
      <c r="B7" s="58" t="s">
        <v>23</v>
      </c>
      <c r="C7" s="6" t="s">
        <v>76</v>
      </c>
      <c r="D7" s="14">
        <v>45304</v>
      </c>
      <c r="E7" s="14">
        <v>45492</v>
      </c>
      <c r="F7" s="6" t="s">
        <v>77</v>
      </c>
      <c r="G7" s="14">
        <v>32883</v>
      </c>
      <c r="H7" s="44">
        <f t="shared" si="0"/>
        <v>34</v>
      </c>
      <c r="I7" s="6">
        <v>0</v>
      </c>
      <c r="J7" s="6">
        <v>34</v>
      </c>
      <c r="K7" s="6" t="s">
        <v>30</v>
      </c>
      <c r="L7" s="6" t="s">
        <v>78</v>
      </c>
      <c r="M7" s="6" t="s">
        <v>369</v>
      </c>
      <c r="N7" s="6" t="s">
        <v>92</v>
      </c>
      <c r="O7" s="27" t="s">
        <v>397</v>
      </c>
      <c r="P7" s="83">
        <f>28+6/7</f>
        <v>28.857142857142858</v>
      </c>
      <c r="Q7" s="6">
        <v>3</v>
      </c>
      <c r="R7" s="6">
        <v>0</v>
      </c>
      <c r="S7" s="6">
        <v>1</v>
      </c>
      <c r="T7" s="6" t="s">
        <v>80</v>
      </c>
      <c r="U7" s="6" t="s">
        <v>165</v>
      </c>
      <c r="V7" s="6" t="s">
        <v>77</v>
      </c>
      <c r="W7" s="5" t="s">
        <v>559</v>
      </c>
      <c r="X7" s="5" t="s">
        <v>82</v>
      </c>
      <c r="Y7" s="5" t="s">
        <v>373</v>
      </c>
      <c r="Z7" s="8" t="s">
        <v>76</v>
      </c>
      <c r="AA7" s="12">
        <v>45509</v>
      </c>
      <c r="AB7" s="83">
        <f>30+5/7</f>
        <v>30.714285714285715</v>
      </c>
      <c r="AC7" s="6" t="s">
        <v>84</v>
      </c>
      <c r="AD7" s="27" t="s">
        <v>616</v>
      </c>
      <c r="AE7" s="44">
        <f t="shared" si="1"/>
        <v>17</v>
      </c>
      <c r="AF7" s="6">
        <v>1</v>
      </c>
      <c r="AG7" s="27" t="s">
        <v>420</v>
      </c>
      <c r="AH7" s="6" t="s">
        <v>84</v>
      </c>
      <c r="AI7" s="6" t="s">
        <v>559</v>
      </c>
      <c r="AJ7" s="6" t="s">
        <v>82</v>
      </c>
      <c r="AK7" s="6" t="s">
        <v>373</v>
      </c>
      <c r="AL7" s="6" t="s">
        <v>260</v>
      </c>
      <c r="AM7" s="83">
        <f>30+6/7</f>
        <v>30.857142857142858</v>
      </c>
      <c r="AN7" s="6" t="s">
        <v>260</v>
      </c>
      <c r="AO7" s="6">
        <v>1</v>
      </c>
      <c r="AQ7" s="180" t="s">
        <v>597</v>
      </c>
      <c r="AR7" s="181">
        <v>22</v>
      </c>
      <c r="AS7" s="172"/>
      <c r="AT7" s="172"/>
      <c r="AU7" s="172"/>
      <c r="AV7" s="172"/>
      <c r="AW7" s="172"/>
      <c r="AX7" s="172"/>
    </row>
    <row r="8" spans="1:65" ht="45" x14ac:dyDescent="0.25">
      <c r="A8" s="60">
        <v>493806</v>
      </c>
      <c r="B8" s="58" t="s">
        <v>23</v>
      </c>
      <c r="C8" s="27" t="s">
        <v>76</v>
      </c>
      <c r="D8" s="14">
        <v>45259</v>
      </c>
      <c r="E8" s="14">
        <v>45459</v>
      </c>
      <c r="F8" s="6" t="s">
        <v>77</v>
      </c>
      <c r="G8" s="14">
        <v>32745</v>
      </c>
      <c r="H8" s="44">
        <f t="shared" si="0"/>
        <v>34</v>
      </c>
      <c r="I8" s="6">
        <v>3</v>
      </c>
      <c r="J8" s="6">
        <v>42</v>
      </c>
      <c r="K8" s="6" t="s">
        <v>30</v>
      </c>
      <c r="L8" s="6" t="s">
        <v>78</v>
      </c>
      <c r="M8" s="6" t="s">
        <v>76</v>
      </c>
      <c r="N8" s="6"/>
      <c r="O8" s="6" t="s">
        <v>397</v>
      </c>
      <c r="P8" s="83">
        <f>30+4/7</f>
        <v>30.571428571428573</v>
      </c>
      <c r="Q8" s="6">
        <v>3</v>
      </c>
      <c r="R8" s="6">
        <v>0</v>
      </c>
      <c r="S8" s="6">
        <v>1</v>
      </c>
      <c r="T8" s="6" t="s">
        <v>80</v>
      </c>
      <c r="U8" s="6" t="s">
        <v>165</v>
      </c>
      <c r="V8" s="6" t="s">
        <v>77</v>
      </c>
      <c r="W8" s="5" t="s">
        <v>559</v>
      </c>
      <c r="X8" s="5" t="s">
        <v>82</v>
      </c>
      <c r="Y8" s="5" t="s">
        <v>373</v>
      </c>
      <c r="Z8" s="8" t="s">
        <v>76</v>
      </c>
      <c r="AA8" s="12">
        <v>45480</v>
      </c>
      <c r="AB8" s="83">
        <f>33+1/7</f>
        <v>33.142857142857146</v>
      </c>
      <c r="AC8" s="6"/>
      <c r="AD8" s="27" t="s">
        <v>616</v>
      </c>
      <c r="AE8" s="44">
        <f t="shared" si="1"/>
        <v>21</v>
      </c>
      <c r="AF8" s="6">
        <v>2</v>
      </c>
      <c r="AG8" s="27" t="s">
        <v>439</v>
      </c>
      <c r="AH8" s="6" t="s">
        <v>80</v>
      </c>
      <c r="AI8" s="6" t="s">
        <v>559</v>
      </c>
      <c r="AJ8" s="6" t="s">
        <v>82</v>
      </c>
      <c r="AK8" s="6" t="s">
        <v>423</v>
      </c>
      <c r="AL8" s="6" t="s">
        <v>332</v>
      </c>
      <c r="AM8" s="83">
        <f>34+5/7</f>
        <v>34.714285714285715</v>
      </c>
      <c r="AN8" s="6" t="s">
        <v>134</v>
      </c>
      <c r="AO8" s="6">
        <v>11</v>
      </c>
      <c r="AQ8" s="180" t="s">
        <v>598</v>
      </c>
      <c r="AR8" s="181">
        <v>11</v>
      </c>
      <c r="AS8" s="177"/>
      <c r="AT8" s="177"/>
      <c r="AU8" s="177"/>
      <c r="AV8" s="172"/>
      <c r="AW8" s="172"/>
      <c r="AX8" s="172"/>
    </row>
    <row r="9" spans="1:65" ht="30.75" thickBot="1" x14ac:dyDescent="0.3">
      <c r="A9" s="57">
        <v>513779</v>
      </c>
      <c r="B9" s="58" t="s">
        <v>23</v>
      </c>
      <c r="C9" s="27" t="s">
        <v>76</v>
      </c>
      <c r="D9" s="14">
        <v>45111</v>
      </c>
      <c r="E9" s="14">
        <v>45294</v>
      </c>
      <c r="F9" s="6" t="s">
        <v>77</v>
      </c>
      <c r="G9" s="14">
        <v>35061</v>
      </c>
      <c r="H9" s="44">
        <f t="shared" si="0"/>
        <v>27</v>
      </c>
      <c r="I9" s="6">
        <v>0</v>
      </c>
      <c r="J9" s="6">
        <v>29</v>
      </c>
      <c r="K9" s="6" t="s">
        <v>30</v>
      </c>
      <c r="L9" s="6" t="s">
        <v>78</v>
      </c>
      <c r="M9" s="6"/>
      <c r="N9" s="6" t="s">
        <v>92</v>
      </c>
      <c r="O9" s="6"/>
      <c r="P9" s="83">
        <f>28+1/7</f>
        <v>28.142857142857142</v>
      </c>
      <c r="Q9" s="6">
        <v>3</v>
      </c>
      <c r="R9" s="6">
        <v>0</v>
      </c>
      <c r="S9" s="6">
        <v>1</v>
      </c>
      <c r="T9" s="6" t="s">
        <v>80</v>
      </c>
      <c r="U9" s="6" t="s">
        <v>165</v>
      </c>
      <c r="V9" s="6" t="s">
        <v>78</v>
      </c>
      <c r="W9" s="5" t="s">
        <v>559</v>
      </c>
      <c r="X9" s="5" t="s">
        <v>82</v>
      </c>
      <c r="Y9" s="5" t="s">
        <v>373</v>
      </c>
      <c r="Z9" s="8" t="s">
        <v>76</v>
      </c>
      <c r="AA9" s="12">
        <v>45356</v>
      </c>
      <c r="AB9" s="83">
        <v>37</v>
      </c>
      <c r="AC9" s="27" t="s">
        <v>220</v>
      </c>
      <c r="AD9" s="27" t="s">
        <v>616</v>
      </c>
      <c r="AE9" s="44">
        <f t="shared" si="1"/>
        <v>62</v>
      </c>
      <c r="AF9" s="6">
        <v>1</v>
      </c>
      <c r="AG9" s="6" t="s">
        <v>84</v>
      </c>
      <c r="AH9" s="6" t="s">
        <v>84</v>
      </c>
      <c r="AI9" s="6" t="s">
        <v>559</v>
      </c>
      <c r="AJ9" s="6" t="s">
        <v>82</v>
      </c>
      <c r="AK9" s="6" t="s">
        <v>435</v>
      </c>
      <c r="AL9" s="6" t="s">
        <v>84</v>
      </c>
      <c r="AM9" s="83">
        <f>37+2/7</f>
        <v>37.285714285714285</v>
      </c>
      <c r="AN9" s="27" t="s">
        <v>768</v>
      </c>
      <c r="AO9" s="6">
        <v>2</v>
      </c>
      <c r="AQ9" s="182" t="s">
        <v>599</v>
      </c>
      <c r="AR9" s="183">
        <v>2</v>
      </c>
      <c r="AS9" s="177"/>
      <c r="AT9" s="177"/>
      <c r="AU9" s="177"/>
      <c r="AV9" s="172"/>
      <c r="AW9" s="172"/>
      <c r="AX9" s="172"/>
    </row>
    <row r="10" spans="1:65" ht="15.75" thickBot="1" x14ac:dyDescent="0.3">
      <c r="A10" s="57">
        <v>518975</v>
      </c>
      <c r="B10" s="58" t="s">
        <v>23</v>
      </c>
      <c r="C10" s="6" t="s">
        <v>76</v>
      </c>
      <c r="D10" s="14">
        <v>45224</v>
      </c>
      <c r="E10" s="14">
        <v>45451</v>
      </c>
      <c r="F10" s="6" t="s">
        <v>77</v>
      </c>
      <c r="G10" s="14">
        <v>30940</v>
      </c>
      <c r="H10" s="44">
        <f t="shared" si="0"/>
        <v>39</v>
      </c>
      <c r="I10" s="6">
        <v>2</v>
      </c>
      <c r="J10" s="6">
        <v>28</v>
      </c>
      <c r="K10" s="6" t="s">
        <v>30</v>
      </c>
      <c r="L10" s="6" t="s">
        <v>78</v>
      </c>
      <c r="M10" s="6" t="s">
        <v>509</v>
      </c>
      <c r="N10" s="6"/>
      <c r="O10" s="6" t="s">
        <v>84</v>
      </c>
      <c r="P10" s="83">
        <f>34+3/7</f>
        <v>34.428571428571431</v>
      </c>
      <c r="Q10" s="6">
        <v>3</v>
      </c>
      <c r="R10" s="6">
        <v>0</v>
      </c>
      <c r="S10" s="6">
        <v>1</v>
      </c>
      <c r="T10" s="6" t="s">
        <v>84</v>
      </c>
      <c r="U10" s="6" t="s">
        <v>165</v>
      </c>
      <c r="V10" s="6" t="s">
        <v>78</v>
      </c>
      <c r="W10" s="5" t="s">
        <v>559</v>
      </c>
      <c r="X10" s="5" t="s">
        <v>82</v>
      </c>
      <c r="Y10" s="5" t="s">
        <v>373</v>
      </c>
      <c r="Z10" s="8" t="s">
        <v>76</v>
      </c>
      <c r="AA10" s="12">
        <v>45471</v>
      </c>
      <c r="AB10" s="83">
        <f>37+2/7</f>
        <v>37.285714285714285</v>
      </c>
      <c r="AC10" s="6"/>
      <c r="AD10" s="6" t="s">
        <v>134</v>
      </c>
      <c r="AE10" s="44">
        <f t="shared" si="1"/>
        <v>20</v>
      </c>
      <c r="AF10" s="6">
        <v>0</v>
      </c>
      <c r="AG10" s="6"/>
      <c r="AH10" s="6" t="s">
        <v>84</v>
      </c>
      <c r="AI10" s="6" t="s">
        <v>559</v>
      </c>
      <c r="AJ10" s="6" t="s">
        <v>82</v>
      </c>
      <c r="AK10" s="6" t="s">
        <v>373</v>
      </c>
      <c r="AL10" s="6" t="s">
        <v>134</v>
      </c>
      <c r="AM10" s="83">
        <f>37+2/7</f>
        <v>37.285714285714285</v>
      </c>
      <c r="AN10" s="6"/>
      <c r="AO10" s="6">
        <v>0</v>
      </c>
      <c r="AQ10" s="54"/>
    </row>
    <row r="11" spans="1:65" x14ac:dyDescent="0.25">
      <c r="A11" s="57">
        <v>481813</v>
      </c>
      <c r="B11" s="58" t="s">
        <v>23</v>
      </c>
      <c r="C11" s="6" t="s">
        <v>76</v>
      </c>
      <c r="D11" s="14">
        <v>45204</v>
      </c>
      <c r="E11" s="14">
        <v>45358</v>
      </c>
      <c r="F11" s="6" t="s">
        <v>77</v>
      </c>
      <c r="G11" s="14">
        <v>30282</v>
      </c>
      <c r="H11" s="44">
        <f t="shared" si="0"/>
        <v>40</v>
      </c>
      <c r="I11" s="6">
        <v>3</v>
      </c>
      <c r="J11" s="6">
        <v>37</v>
      </c>
      <c r="K11" s="6" t="s">
        <v>30</v>
      </c>
      <c r="L11" s="6" t="s">
        <v>78</v>
      </c>
      <c r="M11" s="6"/>
      <c r="N11" s="6" t="s">
        <v>92</v>
      </c>
      <c r="O11" s="6"/>
      <c r="P11" s="83">
        <f>37+1/7</f>
        <v>37.142857142857146</v>
      </c>
      <c r="Q11" s="6">
        <v>3</v>
      </c>
      <c r="R11" s="6">
        <v>0</v>
      </c>
      <c r="S11" s="6">
        <v>1</v>
      </c>
      <c r="T11" s="6" t="s">
        <v>80</v>
      </c>
      <c r="U11" s="6" t="s">
        <v>165</v>
      </c>
      <c r="V11" s="6" t="s">
        <v>78</v>
      </c>
      <c r="W11" s="5" t="s">
        <v>559</v>
      </c>
      <c r="X11" s="5" t="s">
        <v>82</v>
      </c>
      <c r="Y11" s="5" t="s">
        <v>373</v>
      </c>
      <c r="Z11" s="8" t="s">
        <v>76</v>
      </c>
      <c r="AA11" s="12">
        <v>45454</v>
      </c>
      <c r="AB11" s="83">
        <f>37+5/7</f>
        <v>37.714285714285715</v>
      </c>
      <c r="AC11" s="6" t="s">
        <v>4</v>
      </c>
      <c r="AD11" s="27" t="s">
        <v>616</v>
      </c>
      <c r="AE11" s="44">
        <f t="shared" si="1"/>
        <v>96</v>
      </c>
      <c r="AF11" s="6">
        <v>1</v>
      </c>
      <c r="AG11" s="6"/>
      <c r="AH11" s="6" t="s">
        <v>80</v>
      </c>
      <c r="AI11" s="6" t="s">
        <v>559</v>
      </c>
      <c r="AJ11" s="6" t="s">
        <v>82</v>
      </c>
      <c r="AK11" s="6" t="s">
        <v>423</v>
      </c>
      <c r="AL11" s="6" t="s">
        <v>4</v>
      </c>
      <c r="AM11" s="83">
        <f>37+5/7</f>
        <v>37.714285714285715</v>
      </c>
      <c r="AN11" s="6" t="s">
        <v>4</v>
      </c>
      <c r="AO11" s="6">
        <v>0</v>
      </c>
      <c r="AQ11" s="54"/>
      <c r="AR11" s="54"/>
      <c r="AS11" s="54"/>
      <c r="AT11" s="54"/>
      <c r="AZ11" s="174" t="s">
        <v>4</v>
      </c>
      <c r="BA11" s="116"/>
      <c r="BB11" s="116">
        <v>2</v>
      </c>
      <c r="BC11" s="108"/>
      <c r="BE11" s="174" t="s">
        <v>694</v>
      </c>
      <c r="BF11" s="116"/>
      <c r="BG11" s="116">
        <v>23</v>
      </c>
      <c r="BH11" s="108"/>
      <c r="BJ11" s="174" t="s">
        <v>695</v>
      </c>
      <c r="BK11" s="116"/>
      <c r="BL11" s="116">
        <v>10</v>
      </c>
      <c r="BM11" s="108"/>
    </row>
    <row r="12" spans="1:65" ht="15.75" thickBot="1" x14ac:dyDescent="0.3">
      <c r="A12" s="59">
        <v>517696</v>
      </c>
      <c r="B12" s="59" t="s">
        <v>3</v>
      </c>
      <c r="C12" s="6" t="s">
        <v>6</v>
      </c>
      <c r="D12" s="14">
        <v>45209</v>
      </c>
      <c r="E12" s="14">
        <v>45373</v>
      </c>
      <c r="F12" s="6" t="s">
        <v>77</v>
      </c>
      <c r="G12" s="14">
        <v>29937</v>
      </c>
      <c r="H12" s="44">
        <f t="shared" si="0"/>
        <v>41</v>
      </c>
      <c r="I12" s="6">
        <v>0</v>
      </c>
      <c r="J12" s="6">
        <v>18</v>
      </c>
      <c r="K12" s="6" t="s">
        <v>135</v>
      </c>
      <c r="L12" s="6" t="s">
        <v>78</v>
      </c>
      <c r="M12" s="6"/>
      <c r="N12" s="6"/>
      <c r="O12" s="6" t="s">
        <v>136</v>
      </c>
      <c r="P12" s="83">
        <f>25+2/7</f>
        <v>25.285714285714285</v>
      </c>
      <c r="Q12" s="6">
        <v>3</v>
      </c>
      <c r="R12" s="6">
        <v>0</v>
      </c>
      <c r="S12" s="6">
        <v>1</v>
      </c>
      <c r="T12" s="6" t="s">
        <v>84</v>
      </c>
      <c r="U12" s="6" t="s">
        <v>165</v>
      </c>
      <c r="V12" s="6" t="s">
        <v>77</v>
      </c>
      <c r="W12" s="5" t="s">
        <v>559</v>
      </c>
      <c r="X12" s="6" t="s">
        <v>82</v>
      </c>
      <c r="Y12" s="5" t="s">
        <v>373</v>
      </c>
      <c r="Z12" s="8" t="s">
        <v>76</v>
      </c>
      <c r="AA12" s="12">
        <v>45373</v>
      </c>
      <c r="AB12" s="83">
        <f>25+2/7</f>
        <v>25.285714285714285</v>
      </c>
      <c r="AC12" s="6"/>
      <c r="AD12" s="27" t="s">
        <v>616</v>
      </c>
      <c r="AE12" s="44">
        <f t="shared" si="1"/>
        <v>0</v>
      </c>
      <c r="AF12" s="44">
        <v>1</v>
      </c>
      <c r="AG12" s="6" t="s">
        <v>260</v>
      </c>
      <c r="AH12" s="6" t="s">
        <v>84</v>
      </c>
      <c r="AI12" s="6" t="s">
        <v>559</v>
      </c>
      <c r="AJ12" s="6" t="s">
        <v>82</v>
      </c>
      <c r="AK12" s="6" t="s">
        <v>373</v>
      </c>
      <c r="AL12" s="6" t="s">
        <v>260</v>
      </c>
      <c r="AM12" s="83">
        <f>27</f>
        <v>27</v>
      </c>
      <c r="AN12" s="6" t="s">
        <v>84</v>
      </c>
      <c r="AO12" s="6">
        <v>12</v>
      </c>
      <c r="AQ12" s="54"/>
      <c r="AR12" s="54"/>
      <c r="AS12" s="54"/>
      <c r="AT12" s="54"/>
      <c r="AU12" s="54"/>
      <c r="AZ12" s="109" t="s">
        <v>822</v>
      </c>
      <c r="BA12" s="54"/>
      <c r="BB12" s="54"/>
      <c r="BC12" s="110"/>
      <c r="BE12" s="109" t="s">
        <v>786</v>
      </c>
      <c r="BF12" s="54"/>
      <c r="BG12" s="54"/>
      <c r="BH12" s="110" t="s">
        <v>787</v>
      </c>
      <c r="BJ12" s="109" t="s">
        <v>807</v>
      </c>
      <c r="BK12" s="54"/>
      <c r="BL12" s="54"/>
      <c r="BM12" s="110" t="s">
        <v>808</v>
      </c>
    </row>
    <row r="13" spans="1:65" ht="105" x14ac:dyDescent="0.25">
      <c r="A13" s="59">
        <v>523602</v>
      </c>
      <c r="B13" s="59" t="s">
        <v>3</v>
      </c>
      <c r="C13" s="6" t="s">
        <v>76</v>
      </c>
      <c r="D13" s="14">
        <v>45336</v>
      </c>
      <c r="E13" s="14">
        <v>45498</v>
      </c>
      <c r="F13" s="6" t="s">
        <v>77</v>
      </c>
      <c r="G13" s="14">
        <v>33604</v>
      </c>
      <c r="H13" s="44">
        <f t="shared" si="0"/>
        <v>32</v>
      </c>
      <c r="I13" s="45">
        <v>1</v>
      </c>
      <c r="J13" s="6">
        <v>26</v>
      </c>
      <c r="K13" s="6" t="s">
        <v>30</v>
      </c>
      <c r="L13" s="6" t="s">
        <v>78</v>
      </c>
      <c r="M13" s="6"/>
      <c r="N13" s="6"/>
      <c r="O13" s="6"/>
      <c r="P13" s="83">
        <f>25+2/7</f>
        <v>25.285714285714285</v>
      </c>
      <c r="Q13" s="6">
        <v>3</v>
      </c>
      <c r="R13" s="6">
        <v>0</v>
      </c>
      <c r="S13" s="6">
        <v>1</v>
      </c>
      <c r="T13" s="6" t="s">
        <v>80</v>
      </c>
      <c r="U13" s="6" t="s">
        <v>95</v>
      </c>
      <c r="V13" s="6" t="s">
        <v>77</v>
      </c>
      <c r="W13" s="5" t="s">
        <v>559</v>
      </c>
      <c r="X13" s="5" t="s">
        <v>82</v>
      </c>
      <c r="Y13" s="5" t="s">
        <v>373</v>
      </c>
      <c r="Z13" s="8" t="s">
        <v>76</v>
      </c>
      <c r="AA13" s="12">
        <v>45570</v>
      </c>
      <c r="AB13" s="83">
        <f>35+4/7</f>
        <v>35.571428571428569</v>
      </c>
      <c r="AC13" s="27" t="s">
        <v>85</v>
      </c>
      <c r="AD13" s="27" t="s">
        <v>616</v>
      </c>
      <c r="AE13" s="44">
        <f t="shared" si="1"/>
        <v>72</v>
      </c>
      <c r="AF13" s="44">
        <v>2</v>
      </c>
      <c r="AG13" s="27" t="s">
        <v>86</v>
      </c>
      <c r="AH13" s="6" t="s">
        <v>84</v>
      </c>
      <c r="AI13" s="27" t="s">
        <v>558</v>
      </c>
      <c r="AJ13" s="6" t="s">
        <v>82</v>
      </c>
      <c r="AK13" s="27" t="s">
        <v>89</v>
      </c>
      <c r="AL13" s="6" t="s">
        <v>343</v>
      </c>
      <c r="AM13" s="83">
        <v>36</v>
      </c>
      <c r="AN13" s="6" t="s">
        <v>4</v>
      </c>
      <c r="AO13" s="6">
        <v>3</v>
      </c>
      <c r="AQ13" s="174" t="s">
        <v>600</v>
      </c>
      <c r="AR13" s="176"/>
      <c r="AT13" s="174" t="s">
        <v>630</v>
      </c>
      <c r="AU13" s="176"/>
      <c r="AZ13" s="109" t="s">
        <v>823</v>
      </c>
      <c r="BA13" s="54"/>
      <c r="BB13" s="54"/>
      <c r="BC13" s="110"/>
      <c r="BE13" s="109" t="s">
        <v>788</v>
      </c>
      <c r="BF13" s="54"/>
      <c r="BG13" s="54"/>
      <c r="BH13" s="110" t="s">
        <v>789</v>
      </c>
      <c r="BJ13" s="109" t="s">
        <v>809</v>
      </c>
      <c r="BK13" s="54"/>
      <c r="BL13" s="54"/>
      <c r="BM13" s="110" t="s">
        <v>810</v>
      </c>
    </row>
    <row r="14" spans="1:65" ht="90" x14ac:dyDescent="0.25">
      <c r="A14" s="60">
        <v>524225</v>
      </c>
      <c r="B14" s="6" t="s">
        <v>7</v>
      </c>
      <c r="C14" s="27" t="s">
        <v>5</v>
      </c>
      <c r="D14" s="14">
        <v>45346</v>
      </c>
      <c r="E14" s="14">
        <v>45516</v>
      </c>
      <c r="F14" s="6" t="s">
        <v>77</v>
      </c>
      <c r="G14" s="14">
        <v>32316</v>
      </c>
      <c r="H14" s="44">
        <f t="shared" si="0"/>
        <v>35</v>
      </c>
      <c r="I14" s="6">
        <v>1</v>
      </c>
      <c r="J14" s="6">
        <v>29</v>
      </c>
      <c r="K14" s="6" t="s">
        <v>30</v>
      </c>
      <c r="L14" s="6" t="s">
        <v>78</v>
      </c>
      <c r="M14" s="27" t="s">
        <v>542</v>
      </c>
      <c r="N14" s="27" t="s">
        <v>154</v>
      </c>
      <c r="O14" s="27"/>
      <c r="P14" s="83">
        <f>26</f>
        <v>26</v>
      </c>
      <c r="Q14" s="6">
        <v>3</v>
      </c>
      <c r="R14" s="6">
        <v>1</v>
      </c>
      <c r="S14" s="6">
        <v>1</v>
      </c>
      <c r="T14" s="6" t="s">
        <v>80</v>
      </c>
      <c r="U14" s="6" t="s">
        <v>95</v>
      </c>
      <c r="V14" s="6" t="s">
        <v>78</v>
      </c>
      <c r="W14" s="13" t="s">
        <v>558</v>
      </c>
      <c r="X14" s="6" t="s">
        <v>82</v>
      </c>
      <c r="Y14" s="5" t="s">
        <v>373</v>
      </c>
      <c r="Z14" s="8" t="s">
        <v>5</v>
      </c>
      <c r="AA14" s="12">
        <v>45596</v>
      </c>
      <c r="AB14" s="83">
        <f>37+5/7</f>
        <v>37.714285714285715</v>
      </c>
      <c r="AC14" s="6"/>
      <c r="AD14" s="6" t="s">
        <v>207</v>
      </c>
      <c r="AE14" s="44">
        <f t="shared" si="1"/>
        <v>80</v>
      </c>
      <c r="AF14" s="44">
        <v>2</v>
      </c>
      <c r="AG14" s="27" t="s">
        <v>216</v>
      </c>
      <c r="AH14" s="6" t="s">
        <v>80</v>
      </c>
      <c r="AI14" s="27" t="s">
        <v>558</v>
      </c>
      <c r="AJ14" s="6" t="s">
        <v>82</v>
      </c>
      <c r="AK14" s="6" t="s">
        <v>83</v>
      </c>
      <c r="AL14" s="6" t="s">
        <v>207</v>
      </c>
      <c r="AM14" s="83">
        <f>38+2/7</f>
        <v>38.285714285714285</v>
      </c>
      <c r="AN14" s="6" t="s">
        <v>39</v>
      </c>
      <c r="AO14" s="6">
        <v>4</v>
      </c>
      <c r="AQ14" s="180" t="s">
        <v>602</v>
      </c>
      <c r="AR14" s="181">
        <v>13</v>
      </c>
      <c r="AT14" s="180" t="s">
        <v>84</v>
      </c>
      <c r="AU14" s="181">
        <v>6</v>
      </c>
      <c r="AZ14" s="109" t="s">
        <v>824</v>
      </c>
      <c r="BA14" s="54"/>
      <c r="BB14" s="54"/>
      <c r="BC14" s="110"/>
      <c r="BE14" s="109" t="s">
        <v>791</v>
      </c>
      <c r="BF14" s="54"/>
      <c r="BG14" s="54"/>
      <c r="BH14" s="110" t="s">
        <v>790</v>
      </c>
      <c r="BJ14" s="109" t="s">
        <v>811</v>
      </c>
      <c r="BK14" s="54"/>
      <c r="BL14" s="54"/>
      <c r="BM14" s="110" t="s">
        <v>812</v>
      </c>
    </row>
    <row r="15" spans="1:65" ht="30.75" thickBot="1" x14ac:dyDescent="0.3">
      <c r="A15" s="61">
        <v>515293</v>
      </c>
      <c r="B15" s="6" t="s">
        <v>7</v>
      </c>
      <c r="C15" s="27" t="s">
        <v>5</v>
      </c>
      <c r="D15" s="14">
        <v>45177</v>
      </c>
      <c r="E15" s="14">
        <v>45377</v>
      </c>
      <c r="F15" s="6" t="s">
        <v>77</v>
      </c>
      <c r="G15" s="14">
        <v>30038</v>
      </c>
      <c r="H15" s="44">
        <f t="shared" si="0"/>
        <v>41</v>
      </c>
      <c r="I15" s="6">
        <v>1</v>
      </c>
      <c r="J15" s="6">
        <v>25</v>
      </c>
      <c r="K15" s="6" t="s">
        <v>135</v>
      </c>
      <c r="L15" s="6" t="s">
        <v>176</v>
      </c>
      <c r="M15" s="27"/>
      <c r="N15" s="27" t="s">
        <v>181</v>
      </c>
      <c r="O15" s="27" t="s">
        <v>305</v>
      </c>
      <c r="P15" s="83">
        <f>30+4/7</f>
        <v>30.571428571428573</v>
      </c>
      <c r="Q15" s="6">
        <v>3</v>
      </c>
      <c r="R15" s="6">
        <v>1</v>
      </c>
      <c r="S15" s="6">
        <v>1</v>
      </c>
      <c r="T15" s="6" t="s">
        <v>84</v>
      </c>
      <c r="U15" s="6" t="s">
        <v>165</v>
      </c>
      <c r="V15" s="6" t="s">
        <v>77</v>
      </c>
      <c r="W15" s="13" t="s">
        <v>558</v>
      </c>
      <c r="X15" s="5" t="s">
        <v>82</v>
      </c>
      <c r="Y15" s="5" t="s">
        <v>373</v>
      </c>
      <c r="Z15" s="46" t="s">
        <v>5</v>
      </c>
      <c r="AA15" s="12">
        <v>45395</v>
      </c>
      <c r="AB15" s="83">
        <f>32+5/7</f>
        <v>32.714285714285715</v>
      </c>
      <c r="AC15" s="6"/>
      <c r="AD15" s="27" t="s">
        <v>616</v>
      </c>
      <c r="AE15" s="44">
        <f t="shared" si="1"/>
        <v>18</v>
      </c>
      <c r="AF15" s="44">
        <v>1</v>
      </c>
      <c r="AG15" s="27" t="s">
        <v>307</v>
      </c>
      <c r="AH15" s="6" t="s">
        <v>84</v>
      </c>
      <c r="AI15" s="27" t="s">
        <v>558</v>
      </c>
      <c r="AJ15" s="6" t="s">
        <v>82</v>
      </c>
      <c r="AK15" s="6" t="s">
        <v>83</v>
      </c>
      <c r="AL15" s="6" t="s">
        <v>260</v>
      </c>
      <c r="AM15" s="83">
        <f>32+5/7</f>
        <v>32.714285714285715</v>
      </c>
      <c r="AN15" s="6" t="s">
        <v>260</v>
      </c>
      <c r="AO15" s="6">
        <v>0</v>
      </c>
      <c r="AQ15" s="180" t="s">
        <v>603</v>
      </c>
      <c r="AR15" s="181">
        <v>2</v>
      </c>
      <c r="AT15" s="182" t="s">
        <v>4</v>
      </c>
      <c r="AU15" s="183">
        <v>8</v>
      </c>
      <c r="AZ15" s="109" t="s">
        <v>689</v>
      </c>
      <c r="BA15" s="54" t="s">
        <v>825</v>
      </c>
      <c r="BB15" s="54"/>
      <c r="BC15" s="110"/>
      <c r="BE15" s="109" t="s">
        <v>689</v>
      </c>
      <c r="BF15" s="54" t="s">
        <v>718</v>
      </c>
      <c r="BG15" s="54"/>
      <c r="BH15" s="110"/>
      <c r="BJ15" s="109" t="s">
        <v>689</v>
      </c>
      <c r="BK15" s="54" t="s">
        <v>813</v>
      </c>
      <c r="BL15" s="54"/>
      <c r="BM15" s="110"/>
    </row>
    <row r="16" spans="1:65" x14ac:dyDescent="0.25">
      <c r="A16" s="57">
        <v>452629</v>
      </c>
      <c r="B16" s="58" t="s">
        <v>23</v>
      </c>
      <c r="C16" s="6" t="s">
        <v>39</v>
      </c>
      <c r="D16" s="14">
        <v>45048</v>
      </c>
      <c r="E16" s="14">
        <v>45260</v>
      </c>
      <c r="F16" s="6" t="s">
        <v>77</v>
      </c>
      <c r="G16" s="14">
        <v>30032</v>
      </c>
      <c r="H16" s="44">
        <f t="shared" si="0"/>
        <v>41</v>
      </c>
      <c r="I16" s="6">
        <v>3</v>
      </c>
      <c r="J16" s="6">
        <v>32</v>
      </c>
      <c r="K16" s="6" t="s">
        <v>30</v>
      </c>
      <c r="L16" s="6" t="s">
        <v>78</v>
      </c>
      <c r="M16" s="6" t="s">
        <v>541</v>
      </c>
      <c r="N16" s="6" t="s">
        <v>92</v>
      </c>
      <c r="O16" s="6"/>
      <c r="P16" s="83">
        <f>32+2/7</f>
        <v>32.285714285714285</v>
      </c>
      <c r="Q16" s="6">
        <v>3</v>
      </c>
      <c r="R16" s="6">
        <v>0</v>
      </c>
      <c r="S16" s="6">
        <v>1</v>
      </c>
      <c r="T16" s="6" t="s">
        <v>80</v>
      </c>
      <c r="U16" s="6" t="s">
        <v>95</v>
      </c>
      <c r="V16" s="6" t="s">
        <v>78</v>
      </c>
      <c r="W16" s="5" t="s">
        <v>559</v>
      </c>
      <c r="X16" s="5" t="s">
        <v>82</v>
      </c>
      <c r="Y16" s="5" t="s">
        <v>373</v>
      </c>
      <c r="Z16" s="8" t="s">
        <v>39</v>
      </c>
      <c r="AA16" s="12">
        <v>45297</v>
      </c>
      <c r="AB16" s="83">
        <f>37+4/7</f>
        <v>37.571428571428569</v>
      </c>
      <c r="AC16" s="6"/>
      <c r="AD16" s="6" t="s">
        <v>207</v>
      </c>
      <c r="AE16" s="44">
        <f t="shared" si="1"/>
        <v>37</v>
      </c>
      <c r="AF16" s="6">
        <v>0</v>
      </c>
      <c r="AG16" s="6"/>
      <c r="AH16" s="6" t="s">
        <v>80</v>
      </c>
      <c r="AI16" s="6" t="s">
        <v>559</v>
      </c>
      <c r="AJ16" s="6" t="s">
        <v>459</v>
      </c>
      <c r="AK16" s="6" t="s">
        <v>373</v>
      </c>
      <c r="AL16" s="6" t="s">
        <v>207</v>
      </c>
      <c r="AM16" s="83">
        <v>38</v>
      </c>
      <c r="AN16" s="6" t="s">
        <v>460</v>
      </c>
      <c r="AO16" s="6">
        <v>3</v>
      </c>
      <c r="AQ16" s="180" t="s">
        <v>601</v>
      </c>
      <c r="AR16" s="181">
        <v>5</v>
      </c>
      <c r="AZ16" s="109"/>
      <c r="BA16" s="54" t="s">
        <v>826</v>
      </c>
      <c r="BB16" s="54"/>
      <c r="BC16" s="110"/>
      <c r="BE16" s="109"/>
      <c r="BF16" s="54" t="s">
        <v>792</v>
      </c>
      <c r="BG16" s="54"/>
      <c r="BH16" s="110"/>
      <c r="BJ16" s="109"/>
      <c r="BK16" s="54" t="s">
        <v>814</v>
      </c>
      <c r="BL16" s="54"/>
      <c r="BM16" s="110"/>
    </row>
    <row r="17" spans="1:65" ht="30.75" thickBot="1" x14ac:dyDescent="0.3">
      <c r="A17" s="57">
        <v>520317</v>
      </c>
      <c r="B17" s="58" t="s">
        <v>23</v>
      </c>
      <c r="C17" s="6" t="s">
        <v>39</v>
      </c>
      <c r="D17" s="14">
        <v>45319</v>
      </c>
      <c r="E17" s="14">
        <v>45502</v>
      </c>
      <c r="F17" s="6" t="s">
        <v>77</v>
      </c>
      <c r="G17" s="14">
        <v>29953</v>
      </c>
      <c r="H17" s="44">
        <f t="shared" si="0"/>
        <v>42</v>
      </c>
      <c r="I17" s="6">
        <v>2</v>
      </c>
      <c r="J17" s="6">
        <v>59</v>
      </c>
      <c r="K17" s="6" t="s">
        <v>30</v>
      </c>
      <c r="L17" s="6" t="s">
        <v>78</v>
      </c>
      <c r="M17" s="6"/>
      <c r="N17" s="6" t="s">
        <v>181</v>
      </c>
      <c r="O17" s="6"/>
      <c r="P17" s="83">
        <f>28+1/7</f>
        <v>28.142857142857142</v>
      </c>
      <c r="Q17" s="6">
        <v>3</v>
      </c>
      <c r="R17" s="6">
        <v>0</v>
      </c>
      <c r="S17" s="6">
        <v>1</v>
      </c>
      <c r="T17" s="6" t="s">
        <v>80</v>
      </c>
      <c r="U17" s="6" t="s">
        <v>95</v>
      </c>
      <c r="V17" s="6" t="s">
        <v>78</v>
      </c>
      <c r="W17" s="13" t="s">
        <v>558</v>
      </c>
      <c r="X17" s="5" t="s">
        <v>82</v>
      </c>
      <c r="Y17" s="5" t="s">
        <v>373</v>
      </c>
      <c r="Z17" s="8" t="s">
        <v>39</v>
      </c>
      <c r="AA17" s="12">
        <v>45577</v>
      </c>
      <c r="AB17" s="83">
        <f>38+6/7</f>
        <v>38.857142857142854</v>
      </c>
      <c r="AC17" s="6"/>
      <c r="AD17" s="6" t="s">
        <v>207</v>
      </c>
      <c r="AE17" s="44">
        <f t="shared" si="1"/>
        <v>75</v>
      </c>
      <c r="AF17" s="6">
        <v>1</v>
      </c>
      <c r="AG17" s="27" t="s">
        <v>415</v>
      </c>
      <c r="AH17" s="6" t="s">
        <v>80</v>
      </c>
      <c r="AI17" s="27" t="s">
        <v>558</v>
      </c>
      <c r="AJ17" s="6" t="s">
        <v>486</v>
      </c>
      <c r="AK17" s="6" t="s">
        <v>373</v>
      </c>
      <c r="AL17" s="6" t="s">
        <v>207</v>
      </c>
      <c r="AM17" s="83">
        <v>39</v>
      </c>
      <c r="AN17" s="27" t="s">
        <v>488</v>
      </c>
      <c r="AO17" s="27">
        <v>1</v>
      </c>
      <c r="AQ17" s="180" t="s">
        <v>385</v>
      </c>
      <c r="AR17" s="181">
        <v>1</v>
      </c>
      <c r="AU17" s="54"/>
      <c r="AZ17" s="111" t="s">
        <v>827</v>
      </c>
      <c r="BA17" s="135"/>
      <c r="BB17" s="119"/>
      <c r="BC17" s="112"/>
      <c r="BE17" s="111"/>
      <c r="BF17" s="135" t="s">
        <v>793</v>
      </c>
      <c r="BG17" s="119" t="s">
        <v>794</v>
      </c>
      <c r="BH17" s="112"/>
      <c r="BJ17" s="111"/>
      <c r="BK17" s="135" t="s">
        <v>647</v>
      </c>
      <c r="BL17" s="119"/>
      <c r="BM17" s="112"/>
    </row>
    <row r="18" spans="1:65" ht="45" x14ac:dyDescent="0.25">
      <c r="A18" s="57">
        <v>155478</v>
      </c>
      <c r="B18" s="58" t="s">
        <v>23</v>
      </c>
      <c r="C18" s="6" t="s">
        <v>39</v>
      </c>
      <c r="D18" s="14">
        <v>45239</v>
      </c>
      <c r="E18" s="14">
        <v>45421</v>
      </c>
      <c r="F18" s="6" t="s">
        <v>77</v>
      </c>
      <c r="G18" s="14">
        <v>30729</v>
      </c>
      <c r="H18" s="44">
        <f t="shared" si="0"/>
        <v>39</v>
      </c>
      <c r="I18" s="6">
        <v>2</v>
      </c>
      <c r="J18" s="6">
        <v>38</v>
      </c>
      <c r="K18" s="6" t="s">
        <v>30</v>
      </c>
      <c r="L18" s="6" t="s">
        <v>78</v>
      </c>
      <c r="M18" s="27" t="s">
        <v>220</v>
      </c>
      <c r="N18" s="27"/>
      <c r="O18" s="6"/>
      <c r="P18" s="83">
        <v>28</v>
      </c>
      <c r="Q18" s="6">
        <v>3</v>
      </c>
      <c r="R18" s="6">
        <v>0</v>
      </c>
      <c r="S18" s="6">
        <v>1</v>
      </c>
      <c r="T18" s="6" t="s">
        <v>80</v>
      </c>
      <c r="U18" s="6" t="s">
        <v>95</v>
      </c>
      <c r="V18" s="6" t="s">
        <v>78</v>
      </c>
      <c r="W18" s="13" t="s">
        <v>560</v>
      </c>
      <c r="X18" s="13" t="s">
        <v>561</v>
      </c>
      <c r="Y18" s="5" t="s">
        <v>373</v>
      </c>
      <c r="Z18" s="8" t="s">
        <v>39</v>
      </c>
      <c r="AA18" s="12">
        <v>45428</v>
      </c>
      <c r="AB18" s="83">
        <v>29</v>
      </c>
      <c r="AC18" s="6" t="s">
        <v>4</v>
      </c>
      <c r="AD18" s="27" t="s">
        <v>616</v>
      </c>
      <c r="AE18" s="44">
        <f t="shared" si="1"/>
        <v>7</v>
      </c>
      <c r="AF18" s="6">
        <v>1</v>
      </c>
      <c r="AG18" s="6" t="s">
        <v>4</v>
      </c>
      <c r="AH18" s="6" t="s">
        <v>80</v>
      </c>
      <c r="AI18" s="27" t="s">
        <v>560</v>
      </c>
      <c r="AJ18" s="6" t="s">
        <v>471</v>
      </c>
      <c r="AK18" s="6" t="s">
        <v>423</v>
      </c>
      <c r="AL18" s="6" t="s">
        <v>4</v>
      </c>
      <c r="AM18" s="83">
        <v>30</v>
      </c>
      <c r="AN18" s="6" t="s">
        <v>4</v>
      </c>
      <c r="AO18" s="6">
        <v>7</v>
      </c>
      <c r="AQ18" s="180" t="s">
        <v>84</v>
      </c>
      <c r="AR18" s="181">
        <v>7</v>
      </c>
      <c r="AZ18" s="133" t="s">
        <v>828</v>
      </c>
      <c r="BE18" s="137" t="s">
        <v>796</v>
      </c>
      <c r="BF18" s="116"/>
      <c r="BG18" s="116"/>
      <c r="BH18" s="137" t="s">
        <v>795</v>
      </c>
      <c r="BJ18" s="133" t="s">
        <v>815</v>
      </c>
      <c r="BL18" t="s">
        <v>817</v>
      </c>
    </row>
    <row r="19" spans="1:65" ht="60.75" thickBot="1" x14ac:dyDescent="0.3">
      <c r="A19" s="57">
        <v>423266</v>
      </c>
      <c r="B19" s="58" t="s">
        <v>23</v>
      </c>
      <c r="C19" s="6" t="s">
        <v>39</v>
      </c>
      <c r="D19" s="14">
        <v>45166</v>
      </c>
      <c r="E19" s="14">
        <v>45382</v>
      </c>
      <c r="F19" s="6" t="s">
        <v>77</v>
      </c>
      <c r="G19" s="14">
        <v>31842</v>
      </c>
      <c r="H19" s="44">
        <f t="shared" si="0"/>
        <v>36</v>
      </c>
      <c r="I19" s="6">
        <v>4</v>
      </c>
      <c r="J19" s="6">
        <v>35</v>
      </c>
      <c r="K19" s="6" t="s">
        <v>30</v>
      </c>
      <c r="L19" s="6" t="s">
        <v>78</v>
      </c>
      <c r="M19" s="6" t="s">
        <v>544</v>
      </c>
      <c r="N19" s="6"/>
      <c r="O19" s="6"/>
      <c r="P19" s="83">
        <f>32+6/7</f>
        <v>32.857142857142854</v>
      </c>
      <c r="Q19" s="6">
        <v>3</v>
      </c>
      <c r="R19" s="6">
        <v>0</v>
      </c>
      <c r="S19" s="6">
        <v>1</v>
      </c>
      <c r="T19" s="6" t="s">
        <v>80</v>
      </c>
      <c r="U19" s="6" t="s">
        <v>95</v>
      </c>
      <c r="V19" s="6" t="s">
        <v>77</v>
      </c>
      <c r="W19" s="5" t="s">
        <v>559</v>
      </c>
      <c r="X19" s="5" t="s">
        <v>82</v>
      </c>
      <c r="Y19" s="5" t="s">
        <v>373</v>
      </c>
      <c r="Z19" s="46" t="s">
        <v>39</v>
      </c>
      <c r="AA19" s="12">
        <v>45383</v>
      </c>
      <c r="AB19" s="83">
        <v>33</v>
      </c>
      <c r="AC19" s="6"/>
      <c r="AD19" s="27" t="s">
        <v>616</v>
      </c>
      <c r="AE19" s="44">
        <f t="shared" si="1"/>
        <v>1</v>
      </c>
      <c r="AF19" s="6">
        <v>1</v>
      </c>
      <c r="AG19" s="27" t="s">
        <v>477</v>
      </c>
      <c r="AH19" s="6" t="s">
        <v>80</v>
      </c>
      <c r="AI19" s="6" t="s">
        <v>559</v>
      </c>
      <c r="AJ19" s="6" t="s">
        <v>479</v>
      </c>
      <c r="AK19" s="6" t="s">
        <v>373</v>
      </c>
      <c r="AL19" s="6" t="s">
        <v>636</v>
      </c>
      <c r="AM19" s="83">
        <f>34+1/7</f>
        <v>34.142857142857146</v>
      </c>
      <c r="AN19" s="6" t="s">
        <v>509</v>
      </c>
      <c r="AO19" s="6">
        <v>8</v>
      </c>
      <c r="AQ19" s="182" t="s">
        <v>397</v>
      </c>
      <c r="AR19" s="183">
        <v>2</v>
      </c>
      <c r="BE19" s="133" t="s">
        <v>797</v>
      </c>
      <c r="BF19" s="54"/>
      <c r="BG19" s="54" t="s">
        <v>800</v>
      </c>
      <c r="BH19" s="110"/>
      <c r="BJ19" s="133" t="s">
        <v>816</v>
      </c>
    </row>
    <row r="20" spans="1:65" x14ac:dyDescent="0.25">
      <c r="A20" s="57">
        <v>248481</v>
      </c>
      <c r="B20" s="58" t="s">
        <v>23</v>
      </c>
      <c r="C20" s="6" t="s">
        <v>76</v>
      </c>
      <c r="D20" s="14">
        <v>45563</v>
      </c>
      <c r="E20" s="14">
        <v>45378</v>
      </c>
      <c r="F20" s="6" t="s">
        <v>77</v>
      </c>
      <c r="G20" s="14">
        <v>31114</v>
      </c>
      <c r="H20" s="44">
        <f t="shared" si="0"/>
        <v>39</v>
      </c>
      <c r="I20" s="6">
        <v>1</v>
      </c>
      <c r="J20" s="6">
        <v>33</v>
      </c>
      <c r="K20" s="6" t="s">
        <v>30</v>
      </c>
      <c r="L20" s="6" t="s">
        <v>78</v>
      </c>
      <c r="M20" s="27" t="s">
        <v>76</v>
      </c>
      <c r="N20" s="6"/>
      <c r="O20" s="6"/>
      <c r="P20" s="83">
        <f>27+6/7</f>
        <v>27.857142857142858</v>
      </c>
      <c r="Q20" s="6">
        <v>3</v>
      </c>
      <c r="R20" s="6">
        <v>0</v>
      </c>
      <c r="S20" s="6">
        <v>1</v>
      </c>
      <c r="T20" s="6" t="s">
        <v>80</v>
      </c>
      <c r="U20" s="6" t="s">
        <v>95</v>
      </c>
      <c r="V20" s="6" t="s">
        <v>78</v>
      </c>
      <c r="W20" s="5" t="s">
        <v>559</v>
      </c>
      <c r="X20" s="5" t="s">
        <v>82</v>
      </c>
      <c r="Y20" s="5" t="s">
        <v>373</v>
      </c>
      <c r="Z20" s="8" t="s">
        <v>39</v>
      </c>
      <c r="AA20" s="12">
        <v>45429</v>
      </c>
      <c r="AB20" s="83">
        <f>35+1/7</f>
        <v>35.142857142857146</v>
      </c>
      <c r="AC20" s="6" t="s">
        <v>4</v>
      </c>
      <c r="AD20" s="27" t="s">
        <v>616</v>
      </c>
      <c r="AE20" s="44">
        <f t="shared" si="1"/>
        <v>51</v>
      </c>
      <c r="AF20" s="6">
        <v>1</v>
      </c>
      <c r="AG20" s="6" t="s">
        <v>4</v>
      </c>
      <c r="AH20" s="6" t="s">
        <v>80</v>
      </c>
      <c r="AI20" s="6" t="s">
        <v>559</v>
      </c>
      <c r="AJ20" s="6" t="s">
        <v>82</v>
      </c>
      <c r="AK20" s="6" t="s">
        <v>373</v>
      </c>
      <c r="AL20" s="6" t="s">
        <v>4</v>
      </c>
      <c r="AM20" s="83">
        <f>35+2/7</f>
        <v>35.285714285714285</v>
      </c>
      <c r="AN20" s="6" t="s">
        <v>4</v>
      </c>
      <c r="AO20" s="6">
        <v>1</v>
      </c>
      <c r="AT20" s="108"/>
      <c r="AU20" s="54"/>
      <c r="BE20" s="109" t="s">
        <v>798</v>
      </c>
      <c r="BF20" s="54"/>
      <c r="BG20" s="54"/>
      <c r="BH20" s="110"/>
      <c r="BJ20" s="133" t="s">
        <v>820</v>
      </c>
    </row>
    <row r="21" spans="1:65" ht="90.75" thickBot="1" x14ac:dyDescent="0.3">
      <c r="A21" s="57">
        <v>511597</v>
      </c>
      <c r="B21" s="58" t="s">
        <v>23</v>
      </c>
      <c r="C21" s="6" t="s">
        <v>39</v>
      </c>
      <c r="D21" s="14">
        <v>45085</v>
      </c>
      <c r="E21" s="14">
        <v>45272</v>
      </c>
      <c r="F21" s="6" t="s">
        <v>77</v>
      </c>
      <c r="G21" s="14">
        <v>31284</v>
      </c>
      <c r="H21" s="44">
        <f t="shared" si="0"/>
        <v>37</v>
      </c>
      <c r="I21" s="6">
        <v>4</v>
      </c>
      <c r="J21" s="6">
        <v>40</v>
      </c>
      <c r="K21" s="6" t="s">
        <v>30</v>
      </c>
      <c r="L21" s="6" t="s">
        <v>78</v>
      </c>
      <c r="M21" s="6" t="s">
        <v>545</v>
      </c>
      <c r="N21" s="6" t="s">
        <v>92</v>
      </c>
      <c r="O21" s="6"/>
      <c r="P21" s="83">
        <f>28+5/7</f>
        <v>28.714285714285715</v>
      </c>
      <c r="Q21" s="6">
        <v>3</v>
      </c>
      <c r="R21" s="6">
        <v>0</v>
      </c>
      <c r="S21" s="6">
        <v>1</v>
      </c>
      <c r="T21" s="6" t="s">
        <v>80</v>
      </c>
      <c r="U21" s="6" t="s">
        <v>95</v>
      </c>
      <c r="V21" s="6" t="s">
        <v>78</v>
      </c>
      <c r="W21" s="5" t="s">
        <v>559</v>
      </c>
      <c r="X21" s="5" t="s">
        <v>82</v>
      </c>
      <c r="Y21" s="5" t="s">
        <v>373</v>
      </c>
      <c r="Z21" s="8" t="s">
        <v>39</v>
      </c>
      <c r="AA21" s="12">
        <v>45323</v>
      </c>
      <c r="AB21" s="83">
        <v>36</v>
      </c>
      <c r="AC21" s="6" t="s">
        <v>84</v>
      </c>
      <c r="AD21" s="27" t="s">
        <v>616</v>
      </c>
      <c r="AE21" s="44">
        <f t="shared" si="1"/>
        <v>51</v>
      </c>
      <c r="AF21" s="6">
        <v>2</v>
      </c>
      <c r="AG21" s="27" t="s">
        <v>508</v>
      </c>
      <c r="AH21" s="6" t="s">
        <v>84</v>
      </c>
      <c r="AI21" s="27" t="s">
        <v>558</v>
      </c>
      <c r="AJ21" s="6" t="s">
        <v>82</v>
      </c>
      <c r="AK21" s="6" t="s">
        <v>373</v>
      </c>
      <c r="AL21" s="6" t="s">
        <v>84</v>
      </c>
      <c r="AM21" s="83">
        <v>36</v>
      </c>
      <c r="AN21" s="6" t="s">
        <v>84</v>
      </c>
      <c r="AO21" s="6">
        <v>0</v>
      </c>
      <c r="AQ21" s="172" t="s">
        <v>631</v>
      </c>
      <c r="AR21" s="172"/>
      <c r="AS21" s="172"/>
      <c r="AT21" s="181"/>
      <c r="BE21" s="111" t="s">
        <v>799</v>
      </c>
      <c r="BF21" s="119"/>
      <c r="BG21" s="119"/>
      <c r="BH21" s="112"/>
      <c r="BJ21" s="133" t="s">
        <v>819</v>
      </c>
    </row>
    <row r="22" spans="1:65" ht="15.75" thickBot="1" x14ac:dyDescent="0.3">
      <c r="A22" s="57">
        <v>518267</v>
      </c>
      <c r="B22" s="58" t="s">
        <v>23</v>
      </c>
      <c r="C22" s="6" t="s">
        <v>39</v>
      </c>
      <c r="D22" s="14">
        <v>45245</v>
      </c>
      <c r="E22" s="14">
        <v>45428</v>
      </c>
      <c r="F22" s="6" t="s">
        <v>77</v>
      </c>
      <c r="G22" s="14">
        <v>31506</v>
      </c>
      <c r="H22" s="44">
        <f t="shared" si="0"/>
        <v>37</v>
      </c>
      <c r="I22" s="6">
        <v>1</v>
      </c>
      <c r="J22" s="6">
        <v>30</v>
      </c>
      <c r="K22" s="6" t="s">
        <v>30</v>
      </c>
      <c r="L22" s="6" t="s">
        <v>78</v>
      </c>
      <c r="M22" s="6"/>
      <c r="N22" s="6"/>
      <c r="O22" s="6" t="s">
        <v>484</v>
      </c>
      <c r="P22" s="83">
        <f>28+1/7</f>
        <v>28.142857142857142</v>
      </c>
      <c r="Q22" s="6">
        <v>3</v>
      </c>
      <c r="R22" s="6">
        <v>0</v>
      </c>
      <c r="S22" s="6">
        <v>1</v>
      </c>
      <c r="T22" s="6" t="s">
        <v>84</v>
      </c>
      <c r="U22" s="6" t="s">
        <v>95</v>
      </c>
      <c r="V22" s="6" t="s">
        <v>208</v>
      </c>
      <c r="W22" s="13" t="s">
        <v>558</v>
      </c>
      <c r="X22" s="5" t="s">
        <v>82</v>
      </c>
      <c r="Y22" s="5" t="s">
        <v>373</v>
      </c>
      <c r="Z22" s="8" t="s">
        <v>39</v>
      </c>
      <c r="AA22" s="12">
        <v>45484</v>
      </c>
      <c r="AB22" s="83">
        <f>36+1/7</f>
        <v>36.142857142857146</v>
      </c>
      <c r="AC22" s="6" t="s">
        <v>4</v>
      </c>
      <c r="AD22" s="27" t="s">
        <v>616</v>
      </c>
      <c r="AE22" s="44">
        <f t="shared" si="1"/>
        <v>56</v>
      </c>
      <c r="AF22" s="6">
        <v>1</v>
      </c>
      <c r="AG22" s="6" t="s">
        <v>127</v>
      </c>
      <c r="AH22" s="6" t="s">
        <v>84</v>
      </c>
      <c r="AI22" s="27" t="s">
        <v>558</v>
      </c>
      <c r="AJ22" s="6" t="s">
        <v>82</v>
      </c>
      <c r="AK22" s="6" t="s">
        <v>485</v>
      </c>
      <c r="AL22" s="6" t="s">
        <v>4</v>
      </c>
      <c r="AM22" s="83">
        <f>36+1/7</f>
        <v>36.142857142857146</v>
      </c>
      <c r="AN22" s="6" t="s">
        <v>4</v>
      </c>
      <c r="AO22" s="6">
        <v>0</v>
      </c>
      <c r="AQ22" s="174" t="s">
        <v>627</v>
      </c>
      <c r="AR22" s="175" t="s">
        <v>753</v>
      </c>
      <c r="AS22" s="175"/>
      <c r="AT22" s="183"/>
      <c r="BE22" s="133" t="s">
        <v>804</v>
      </c>
      <c r="BJ22" s="133" t="s">
        <v>821</v>
      </c>
    </row>
    <row r="23" spans="1:65" ht="30" x14ac:dyDescent="0.25">
      <c r="A23" s="57">
        <v>517108</v>
      </c>
      <c r="B23" s="58" t="s">
        <v>23</v>
      </c>
      <c r="C23" s="6" t="s">
        <v>39</v>
      </c>
      <c r="D23" s="14">
        <v>45246</v>
      </c>
      <c r="E23" s="14">
        <v>45427</v>
      </c>
      <c r="F23" s="6" t="s">
        <v>77</v>
      </c>
      <c r="G23" s="14">
        <v>36326</v>
      </c>
      <c r="H23" s="44">
        <f t="shared" si="0"/>
        <v>24</v>
      </c>
      <c r="I23" s="6">
        <v>1</v>
      </c>
      <c r="J23" s="6">
        <v>33</v>
      </c>
      <c r="K23" s="6" t="s">
        <v>30</v>
      </c>
      <c r="L23" s="6" t="s">
        <v>78</v>
      </c>
      <c r="M23" s="6" t="s">
        <v>4</v>
      </c>
      <c r="N23" s="6" t="s">
        <v>92</v>
      </c>
      <c r="O23" s="27" t="s">
        <v>84</v>
      </c>
      <c r="P23" s="83">
        <f>28</f>
        <v>28</v>
      </c>
      <c r="Q23" s="6">
        <v>3</v>
      </c>
      <c r="R23" s="6">
        <v>0</v>
      </c>
      <c r="S23" s="6">
        <v>1</v>
      </c>
      <c r="T23" s="6" t="s">
        <v>84</v>
      </c>
      <c r="U23" s="6" t="s">
        <v>95</v>
      </c>
      <c r="V23" s="6" t="s">
        <v>77</v>
      </c>
      <c r="W23" s="5" t="s">
        <v>559</v>
      </c>
      <c r="X23" s="5" t="s">
        <v>82</v>
      </c>
      <c r="Y23" s="5" t="s">
        <v>373</v>
      </c>
      <c r="Z23" s="8" t="s">
        <v>39</v>
      </c>
      <c r="AA23" s="12">
        <v>45477</v>
      </c>
      <c r="AB23" s="83">
        <v>35</v>
      </c>
      <c r="AC23" s="6" t="s">
        <v>4</v>
      </c>
      <c r="AD23" s="27" t="s">
        <v>616</v>
      </c>
      <c r="AE23" s="44">
        <f t="shared" si="1"/>
        <v>50</v>
      </c>
      <c r="AF23" s="6">
        <v>1</v>
      </c>
      <c r="AG23" s="6" t="s">
        <v>4</v>
      </c>
      <c r="AH23" s="6" t="s">
        <v>84</v>
      </c>
      <c r="AI23" s="6" t="s">
        <v>559</v>
      </c>
      <c r="AJ23" s="6" t="s">
        <v>82</v>
      </c>
      <c r="AK23" s="6" t="s">
        <v>423</v>
      </c>
      <c r="AL23" s="6" t="s">
        <v>4</v>
      </c>
      <c r="AM23" s="83">
        <f>37+1/7</f>
        <v>37.142857142857146</v>
      </c>
      <c r="AN23" s="27" t="s">
        <v>761</v>
      </c>
      <c r="AO23" s="27">
        <v>15</v>
      </c>
      <c r="AQ23" s="185" t="s">
        <v>605</v>
      </c>
      <c r="AR23" s="177" t="s">
        <v>752</v>
      </c>
      <c r="AS23" s="177"/>
      <c r="AT23" s="172"/>
      <c r="BE23" s="133" t="s">
        <v>801</v>
      </c>
    </row>
    <row r="24" spans="1:65" ht="75.75" thickBot="1" x14ac:dyDescent="0.3">
      <c r="A24" s="62">
        <v>460992</v>
      </c>
      <c r="B24" s="58" t="s">
        <v>23</v>
      </c>
      <c r="C24" s="6" t="s">
        <v>39</v>
      </c>
      <c r="D24" s="14">
        <v>45208</v>
      </c>
      <c r="E24" s="14">
        <v>45412</v>
      </c>
      <c r="F24" s="6" t="s">
        <v>77</v>
      </c>
      <c r="G24" s="14">
        <v>30997</v>
      </c>
      <c r="H24" s="44">
        <f t="shared" si="0"/>
        <v>38</v>
      </c>
      <c r="I24" s="6">
        <v>1</v>
      </c>
      <c r="J24" s="6">
        <v>39</v>
      </c>
      <c r="K24" s="6" t="s">
        <v>30</v>
      </c>
      <c r="L24" s="6" t="s">
        <v>78</v>
      </c>
      <c r="M24" s="6" t="s">
        <v>4</v>
      </c>
      <c r="N24" s="6" t="s">
        <v>92</v>
      </c>
      <c r="O24" s="6"/>
      <c r="P24" s="83">
        <f>31+5/7</f>
        <v>31.714285714285715</v>
      </c>
      <c r="Q24" s="6">
        <v>3</v>
      </c>
      <c r="R24" s="6">
        <v>0</v>
      </c>
      <c r="S24" s="6">
        <v>1</v>
      </c>
      <c r="T24" s="6" t="s">
        <v>80</v>
      </c>
      <c r="U24" s="6" t="s">
        <v>95</v>
      </c>
      <c r="V24" s="6" t="s">
        <v>78</v>
      </c>
      <c r="W24" s="5" t="s">
        <v>559</v>
      </c>
      <c r="X24" s="5" t="s">
        <v>82</v>
      </c>
      <c r="Y24" s="5" t="s">
        <v>373</v>
      </c>
      <c r="Z24" s="8" t="s">
        <v>39</v>
      </c>
      <c r="AA24" s="12">
        <v>45457</v>
      </c>
      <c r="AB24" s="83">
        <f>37+2/7</f>
        <v>37.285714285714285</v>
      </c>
      <c r="AC24" s="6"/>
      <c r="AD24" s="6" t="s">
        <v>134</v>
      </c>
      <c r="AE24" s="44">
        <f t="shared" si="1"/>
        <v>45</v>
      </c>
      <c r="AF24" s="6">
        <v>2</v>
      </c>
      <c r="AG24" s="27" t="s">
        <v>398</v>
      </c>
      <c r="AH24" s="6" t="s">
        <v>80</v>
      </c>
      <c r="AI24" s="27" t="s">
        <v>558</v>
      </c>
      <c r="AJ24" s="6" t="s">
        <v>82</v>
      </c>
      <c r="AK24" s="6" t="s">
        <v>373</v>
      </c>
      <c r="AL24" s="6" t="s">
        <v>134</v>
      </c>
      <c r="AM24" s="83">
        <f>37+2/7</f>
        <v>37.285714285714285</v>
      </c>
      <c r="AN24" s="6"/>
      <c r="AO24" s="6">
        <v>0</v>
      </c>
      <c r="AQ24" s="186" t="s">
        <v>751</v>
      </c>
      <c r="AR24" s="187" t="s">
        <v>606</v>
      </c>
      <c r="AS24" s="187"/>
      <c r="AT24" s="177"/>
      <c r="AU24" s="54"/>
      <c r="BE24" s="133" t="s">
        <v>802</v>
      </c>
      <c r="BG24" t="s">
        <v>803</v>
      </c>
    </row>
    <row r="25" spans="1:65" ht="60" x14ac:dyDescent="0.25">
      <c r="A25" s="57">
        <v>437843</v>
      </c>
      <c r="B25" s="58" t="s">
        <v>23</v>
      </c>
      <c r="C25" s="27" t="s">
        <v>39</v>
      </c>
      <c r="D25" s="14">
        <v>45152</v>
      </c>
      <c r="E25" s="14">
        <v>45336</v>
      </c>
      <c r="F25" s="6" t="s">
        <v>77</v>
      </c>
      <c r="G25" s="14">
        <v>34197</v>
      </c>
      <c r="H25" s="44">
        <f t="shared" si="0"/>
        <v>29</v>
      </c>
      <c r="I25" s="6">
        <v>3</v>
      </c>
      <c r="J25" s="6">
        <v>40</v>
      </c>
      <c r="K25" s="6" t="s">
        <v>30</v>
      </c>
      <c r="L25" s="6" t="s">
        <v>78</v>
      </c>
      <c r="M25" s="6" t="s">
        <v>4</v>
      </c>
      <c r="N25" s="6" t="s">
        <v>181</v>
      </c>
      <c r="O25" s="6"/>
      <c r="P25" s="83">
        <f>28+1/7</f>
        <v>28.142857142857142</v>
      </c>
      <c r="Q25" s="6">
        <v>3</v>
      </c>
      <c r="R25" s="6">
        <v>0</v>
      </c>
      <c r="S25" s="6">
        <v>1</v>
      </c>
      <c r="T25" s="6" t="s">
        <v>80</v>
      </c>
      <c r="U25" s="6" t="s">
        <v>95</v>
      </c>
      <c r="V25" s="6" t="s">
        <v>78</v>
      </c>
      <c r="W25" s="5" t="s">
        <v>559</v>
      </c>
      <c r="X25" s="5" t="s">
        <v>82</v>
      </c>
      <c r="Y25" s="5" t="s">
        <v>373</v>
      </c>
      <c r="Z25" s="8" t="s">
        <v>39</v>
      </c>
      <c r="AA25" s="12">
        <v>45406</v>
      </c>
      <c r="AB25" s="83">
        <f>38+1/7</f>
        <v>38.142857142857146</v>
      </c>
      <c r="AC25" s="6"/>
      <c r="AD25" s="6" t="s">
        <v>134</v>
      </c>
      <c r="AE25" s="44">
        <f t="shared" si="1"/>
        <v>70</v>
      </c>
      <c r="AF25" s="6">
        <v>0</v>
      </c>
      <c r="AG25" s="6"/>
      <c r="AH25" s="6" t="s">
        <v>71</v>
      </c>
      <c r="AI25" s="6" t="s">
        <v>559</v>
      </c>
      <c r="AJ25" s="6" t="s">
        <v>82</v>
      </c>
      <c r="AK25" s="6" t="s">
        <v>373</v>
      </c>
      <c r="AL25" s="6" t="s">
        <v>134</v>
      </c>
      <c r="AM25" s="83">
        <f>38+1/7</f>
        <v>38.142857142857146</v>
      </c>
      <c r="AN25" s="6"/>
      <c r="AO25" s="6">
        <v>0</v>
      </c>
      <c r="AQ25" s="173" t="s">
        <v>750</v>
      </c>
      <c r="AR25" s="172"/>
      <c r="AS25" s="172"/>
      <c r="AT25" s="177"/>
      <c r="AU25" s="54"/>
      <c r="BE25" s="133" t="s">
        <v>805</v>
      </c>
      <c r="BH25" s="42" t="s">
        <v>818</v>
      </c>
    </row>
    <row r="26" spans="1:65" ht="45.75" thickBot="1" x14ac:dyDescent="0.3">
      <c r="A26" s="57">
        <v>513820</v>
      </c>
      <c r="B26" s="58" t="s">
        <v>8</v>
      </c>
      <c r="C26" s="6" t="s">
        <v>39</v>
      </c>
      <c r="D26" s="14">
        <v>45109</v>
      </c>
      <c r="E26" s="14">
        <v>45306</v>
      </c>
      <c r="F26" s="6" t="s">
        <v>77</v>
      </c>
      <c r="G26" s="14">
        <v>33965</v>
      </c>
      <c r="H26" s="44">
        <f t="shared" si="0"/>
        <v>30</v>
      </c>
      <c r="I26" s="6">
        <v>3</v>
      </c>
      <c r="J26" s="6">
        <v>24</v>
      </c>
      <c r="K26" s="6" t="s">
        <v>30</v>
      </c>
      <c r="L26" s="6" t="s">
        <v>78</v>
      </c>
      <c r="M26" s="6" t="s">
        <v>84</v>
      </c>
      <c r="N26" s="6"/>
      <c r="O26" s="6"/>
      <c r="P26" s="83">
        <f>30+1/7</f>
        <v>30.142857142857142</v>
      </c>
      <c r="Q26" s="6">
        <v>3</v>
      </c>
      <c r="R26" s="6">
        <v>0</v>
      </c>
      <c r="S26" s="6">
        <v>1</v>
      </c>
      <c r="T26" s="6" t="s">
        <v>80</v>
      </c>
      <c r="U26" s="6" t="s">
        <v>95</v>
      </c>
      <c r="V26" s="6" t="s">
        <v>78</v>
      </c>
      <c r="W26" s="5" t="s">
        <v>559</v>
      </c>
      <c r="X26" s="5" t="s">
        <v>376</v>
      </c>
      <c r="Y26" s="5" t="s">
        <v>373</v>
      </c>
      <c r="Z26" s="8" t="s">
        <v>39</v>
      </c>
      <c r="AA26" s="12">
        <v>45374</v>
      </c>
      <c r="AB26" s="83">
        <f>39+6/7</f>
        <v>39.857142857142854</v>
      </c>
      <c r="AC26" s="6"/>
      <c r="AD26" s="6" t="s">
        <v>134</v>
      </c>
      <c r="AE26" s="44">
        <f t="shared" si="1"/>
        <v>68</v>
      </c>
      <c r="AF26" s="6">
        <v>0</v>
      </c>
      <c r="AG26" s="6"/>
      <c r="AH26" s="6" t="s">
        <v>80</v>
      </c>
      <c r="AI26" s="6" t="s">
        <v>559</v>
      </c>
      <c r="AJ26" s="27" t="s">
        <v>379</v>
      </c>
      <c r="AK26" s="6" t="s">
        <v>373</v>
      </c>
      <c r="AL26" s="6" t="s">
        <v>134</v>
      </c>
      <c r="AM26" s="83">
        <f>39+6/7</f>
        <v>39.857142857142854</v>
      </c>
      <c r="AN26" s="6"/>
      <c r="AO26" s="6">
        <v>0</v>
      </c>
      <c r="AQ26" s="54"/>
      <c r="AR26" s="54"/>
      <c r="AT26" s="54"/>
      <c r="AU26" s="54"/>
      <c r="BE26" s="133" t="s">
        <v>806</v>
      </c>
    </row>
    <row r="27" spans="1:65" x14ac:dyDescent="0.25">
      <c r="A27" s="59">
        <v>512723</v>
      </c>
      <c r="B27" s="59" t="s">
        <v>3</v>
      </c>
      <c r="C27" s="6" t="s">
        <v>5</v>
      </c>
      <c r="D27" s="14">
        <v>45080</v>
      </c>
      <c r="E27" s="14">
        <v>45278</v>
      </c>
      <c r="F27" s="6" t="s">
        <v>77</v>
      </c>
      <c r="G27" s="14">
        <v>31204</v>
      </c>
      <c r="H27" s="44">
        <f t="shared" si="0"/>
        <v>37</v>
      </c>
      <c r="I27" s="6">
        <v>0</v>
      </c>
      <c r="J27" s="6">
        <v>25</v>
      </c>
      <c r="K27" s="6" t="s">
        <v>30</v>
      </c>
      <c r="L27" s="6" t="s">
        <v>78</v>
      </c>
      <c r="M27" s="27"/>
      <c r="N27" s="6" t="s">
        <v>536</v>
      </c>
      <c r="O27" s="6"/>
      <c r="P27" s="83">
        <f>30+2/7</f>
        <v>30.285714285714285</v>
      </c>
      <c r="Q27" s="6">
        <v>3</v>
      </c>
      <c r="R27" s="6">
        <v>0</v>
      </c>
      <c r="S27" s="6">
        <v>1</v>
      </c>
      <c r="T27" s="6" t="s">
        <v>80</v>
      </c>
      <c r="U27" s="6" t="s">
        <v>95</v>
      </c>
      <c r="V27" s="6" t="s">
        <v>78</v>
      </c>
      <c r="W27" s="13" t="s">
        <v>558</v>
      </c>
      <c r="X27" s="6" t="s">
        <v>82</v>
      </c>
      <c r="Y27" s="5" t="s">
        <v>373</v>
      </c>
      <c r="Z27" s="8" t="s">
        <v>39</v>
      </c>
      <c r="AA27" s="12">
        <v>45334</v>
      </c>
      <c r="AB27" s="83">
        <f>37+6/7</f>
        <v>37.857142857142854</v>
      </c>
      <c r="AC27" s="6"/>
      <c r="AD27" s="6" t="s">
        <v>207</v>
      </c>
      <c r="AE27" s="44">
        <f t="shared" si="1"/>
        <v>56</v>
      </c>
      <c r="AF27" s="44">
        <v>0</v>
      </c>
      <c r="AG27" s="6"/>
      <c r="AH27" s="6" t="s">
        <v>80</v>
      </c>
      <c r="AI27" s="27" t="s">
        <v>558</v>
      </c>
      <c r="AJ27" s="6" t="s">
        <v>82</v>
      </c>
      <c r="AK27" s="6" t="s">
        <v>83</v>
      </c>
      <c r="AL27" s="6" t="s">
        <v>207</v>
      </c>
      <c r="AM27" s="83">
        <v>38</v>
      </c>
      <c r="AN27" s="6" t="s">
        <v>269</v>
      </c>
      <c r="AO27" s="6">
        <v>1</v>
      </c>
      <c r="AQ27" s="174"/>
      <c r="AR27" s="175" t="s">
        <v>25</v>
      </c>
      <c r="AS27" s="176" t="s">
        <v>607</v>
      </c>
      <c r="AT27" s="54"/>
      <c r="AU27" s="54"/>
    </row>
    <row r="28" spans="1:65" x14ac:dyDescent="0.25">
      <c r="A28" s="59">
        <v>525068</v>
      </c>
      <c r="B28" s="59" t="s">
        <v>3</v>
      </c>
      <c r="C28" s="6" t="s">
        <v>6</v>
      </c>
      <c r="D28" s="14">
        <v>45334</v>
      </c>
      <c r="E28" s="14">
        <v>45545</v>
      </c>
      <c r="F28" s="6" t="s">
        <v>77</v>
      </c>
      <c r="G28" s="14">
        <v>32922</v>
      </c>
      <c r="H28" s="44">
        <f t="shared" si="0"/>
        <v>33</v>
      </c>
      <c r="I28" s="6">
        <v>1</v>
      </c>
      <c r="J28" s="6">
        <v>35</v>
      </c>
      <c r="K28" s="6" t="s">
        <v>30</v>
      </c>
      <c r="L28" s="6" t="s">
        <v>78</v>
      </c>
      <c r="M28" s="6" t="s">
        <v>182</v>
      </c>
      <c r="N28" s="6" t="s">
        <v>181</v>
      </c>
      <c r="O28" s="6"/>
      <c r="P28" s="83">
        <f>32+1/7</f>
        <v>32.142857142857146</v>
      </c>
      <c r="Q28" s="6">
        <v>3</v>
      </c>
      <c r="R28" s="6">
        <v>0</v>
      </c>
      <c r="S28" s="6">
        <v>0.25</v>
      </c>
      <c r="T28" s="6" t="s">
        <v>80</v>
      </c>
      <c r="U28" s="6" t="s">
        <v>95</v>
      </c>
      <c r="V28" s="6" t="s">
        <v>78</v>
      </c>
      <c r="W28" s="5" t="s">
        <v>559</v>
      </c>
      <c r="X28" s="6" t="s">
        <v>82</v>
      </c>
      <c r="Y28" s="5" t="s">
        <v>373</v>
      </c>
      <c r="Z28" s="8" t="s">
        <v>5</v>
      </c>
      <c r="AA28" s="12">
        <v>45586</v>
      </c>
      <c r="AB28" s="83">
        <v>38</v>
      </c>
      <c r="AC28" s="6"/>
      <c r="AD28" s="6" t="s">
        <v>207</v>
      </c>
      <c r="AE28" s="44">
        <f t="shared" si="1"/>
        <v>41</v>
      </c>
      <c r="AF28" s="44">
        <v>0</v>
      </c>
      <c r="AG28" s="6"/>
      <c r="AH28" s="6" t="s">
        <v>80</v>
      </c>
      <c r="AI28" s="6" t="s">
        <v>559</v>
      </c>
      <c r="AJ28" s="6" t="s">
        <v>82</v>
      </c>
      <c r="AK28" s="6" t="s">
        <v>83</v>
      </c>
      <c r="AL28" s="6" t="s">
        <v>207</v>
      </c>
      <c r="AM28" s="83">
        <f>38+3/7</f>
        <v>38.428571428571431</v>
      </c>
      <c r="AN28" s="6" t="s">
        <v>582</v>
      </c>
      <c r="AO28" s="6">
        <v>3</v>
      </c>
      <c r="AQ28" s="180" t="s">
        <v>84</v>
      </c>
      <c r="AR28" s="177">
        <v>8</v>
      </c>
      <c r="AS28" s="181">
        <v>13</v>
      </c>
      <c r="AT28" s="54"/>
      <c r="AU28" s="54"/>
    </row>
    <row r="29" spans="1:65" ht="30.75" thickBot="1" x14ac:dyDescent="0.3">
      <c r="A29" s="59">
        <v>526684</v>
      </c>
      <c r="B29" s="59" t="s">
        <v>3</v>
      </c>
      <c r="C29" s="6" t="s">
        <v>5</v>
      </c>
      <c r="D29" s="14">
        <v>45325</v>
      </c>
      <c r="E29" s="14">
        <v>45572</v>
      </c>
      <c r="F29" s="6" t="s">
        <v>77</v>
      </c>
      <c r="G29" s="14">
        <v>29860</v>
      </c>
      <c r="H29" s="44">
        <f t="shared" si="0"/>
        <v>42</v>
      </c>
      <c r="I29" s="6">
        <v>2</v>
      </c>
      <c r="J29" s="6">
        <v>32</v>
      </c>
      <c r="K29" s="6" t="s">
        <v>166</v>
      </c>
      <c r="L29" s="6" t="s">
        <v>78</v>
      </c>
      <c r="M29" s="6"/>
      <c r="N29" s="6" t="s">
        <v>154</v>
      </c>
      <c r="O29" s="6"/>
      <c r="P29" s="83">
        <f>37+2/7</f>
        <v>37.285714285714285</v>
      </c>
      <c r="Q29" s="6">
        <v>3</v>
      </c>
      <c r="R29" s="6">
        <v>0</v>
      </c>
      <c r="S29" s="6">
        <v>1</v>
      </c>
      <c r="T29" s="6" t="s">
        <v>80</v>
      </c>
      <c r="U29" s="6" t="s">
        <v>95</v>
      </c>
      <c r="V29" s="6" t="s">
        <v>78</v>
      </c>
      <c r="W29" s="13" t="s">
        <v>558</v>
      </c>
      <c r="X29" s="27" t="s">
        <v>194</v>
      </c>
      <c r="Y29" s="5" t="s">
        <v>373</v>
      </c>
      <c r="Z29" s="8" t="s">
        <v>39</v>
      </c>
      <c r="AA29" s="12">
        <v>45583</v>
      </c>
      <c r="AB29" s="83">
        <f>38+6/7</f>
        <v>38.857142857142854</v>
      </c>
      <c r="AC29" s="6"/>
      <c r="AD29" s="6" t="s">
        <v>207</v>
      </c>
      <c r="AE29" s="44">
        <f t="shared" si="1"/>
        <v>11</v>
      </c>
      <c r="AF29" s="44">
        <v>0</v>
      </c>
      <c r="AG29" s="6"/>
      <c r="AH29" s="6" t="s">
        <v>80</v>
      </c>
      <c r="AI29" s="27" t="s">
        <v>558</v>
      </c>
      <c r="AJ29" s="6" t="s">
        <v>175</v>
      </c>
      <c r="AK29" s="6" t="s">
        <v>83</v>
      </c>
      <c r="AL29" s="6" t="s">
        <v>207</v>
      </c>
      <c r="AM29" s="131">
        <v>39</v>
      </c>
      <c r="AN29" s="6" t="s">
        <v>5</v>
      </c>
      <c r="AO29" s="6">
        <v>1</v>
      </c>
      <c r="AQ29" s="182" t="s">
        <v>71</v>
      </c>
      <c r="AR29" s="187">
        <v>2</v>
      </c>
      <c r="AS29" s="183">
        <v>2</v>
      </c>
      <c r="AT29" s="54"/>
      <c r="AU29" s="54"/>
    </row>
    <row r="30" spans="1:65" ht="15.75" thickBot="1" x14ac:dyDescent="0.3">
      <c r="A30" s="59">
        <v>520352</v>
      </c>
      <c r="B30" s="59" t="s">
        <v>3</v>
      </c>
      <c r="C30" s="6" t="s">
        <v>6</v>
      </c>
      <c r="D30" s="14">
        <v>45224</v>
      </c>
      <c r="E30" s="14">
        <v>45427</v>
      </c>
      <c r="F30" s="6" t="s">
        <v>77</v>
      </c>
      <c r="G30" s="14">
        <v>30988</v>
      </c>
      <c r="H30" s="44">
        <f t="shared" si="0"/>
        <v>38</v>
      </c>
      <c r="I30" s="6">
        <v>1</v>
      </c>
      <c r="J30" s="6">
        <v>25</v>
      </c>
      <c r="K30" s="6" t="s">
        <v>135</v>
      </c>
      <c r="L30" s="6" t="s">
        <v>78</v>
      </c>
      <c r="M30" s="6" t="s">
        <v>4</v>
      </c>
      <c r="N30" s="6"/>
      <c r="O30" s="6"/>
      <c r="P30" s="83">
        <v>31</v>
      </c>
      <c r="Q30" s="6">
        <v>3</v>
      </c>
      <c r="R30" s="6">
        <v>0</v>
      </c>
      <c r="S30" s="6">
        <v>1</v>
      </c>
      <c r="T30" s="6" t="s">
        <v>80</v>
      </c>
      <c r="U30" s="6" t="s">
        <v>95</v>
      </c>
      <c r="V30" s="6" t="s">
        <v>77</v>
      </c>
      <c r="W30" s="13" t="s">
        <v>558</v>
      </c>
      <c r="X30" s="26" t="s">
        <v>82</v>
      </c>
      <c r="Y30" s="5" t="s">
        <v>373</v>
      </c>
      <c r="Z30" s="8" t="s">
        <v>39</v>
      </c>
      <c r="AA30" s="12">
        <v>45479</v>
      </c>
      <c r="AB30" s="83">
        <f>38+3/7</f>
        <v>38.428571428571431</v>
      </c>
      <c r="AC30" s="6"/>
      <c r="AD30" s="6" t="s">
        <v>207</v>
      </c>
      <c r="AE30" s="44">
        <f t="shared" si="1"/>
        <v>52</v>
      </c>
      <c r="AF30" s="44">
        <v>0</v>
      </c>
      <c r="AG30" s="6"/>
      <c r="AH30" s="6" t="s">
        <v>80</v>
      </c>
      <c r="AI30" s="27" t="s">
        <v>558</v>
      </c>
      <c r="AJ30" s="6" t="s">
        <v>82</v>
      </c>
      <c r="AK30" s="6" t="s">
        <v>83</v>
      </c>
      <c r="AL30" s="6" t="s">
        <v>207</v>
      </c>
      <c r="AM30" s="83">
        <v>39</v>
      </c>
      <c r="AN30" s="6" t="s">
        <v>266</v>
      </c>
      <c r="AO30" s="6">
        <v>4</v>
      </c>
      <c r="AQ30" s="54"/>
      <c r="AR30" s="54"/>
    </row>
    <row r="31" spans="1:65" x14ac:dyDescent="0.25">
      <c r="A31" s="59">
        <v>485121</v>
      </c>
      <c r="B31" s="59" t="s">
        <v>3</v>
      </c>
      <c r="C31" s="6" t="s">
        <v>5</v>
      </c>
      <c r="D31" s="14">
        <v>45089</v>
      </c>
      <c r="E31" s="14">
        <v>45278</v>
      </c>
      <c r="F31" s="6" t="s">
        <v>77</v>
      </c>
      <c r="G31" s="14">
        <v>30613</v>
      </c>
      <c r="H31" s="44">
        <f t="shared" si="0"/>
        <v>39</v>
      </c>
      <c r="I31" s="6">
        <v>2</v>
      </c>
      <c r="J31" s="6">
        <v>28</v>
      </c>
      <c r="K31" s="6" t="s">
        <v>30</v>
      </c>
      <c r="L31" s="6" t="s">
        <v>78</v>
      </c>
      <c r="M31" s="27" t="s">
        <v>4</v>
      </c>
      <c r="N31" s="27"/>
      <c r="O31" s="6" t="s">
        <v>132</v>
      </c>
      <c r="P31" s="83">
        <f>27+5/7</f>
        <v>27.714285714285715</v>
      </c>
      <c r="Q31" s="6">
        <v>3</v>
      </c>
      <c r="R31" s="6">
        <v>0</v>
      </c>
      <c r="S31" s="6">
        <v>0.25</v>
      </c>
      <c r="T31" s="6" t="s">
        <v>80</v>
      </c>
      <c r="U31" s="6" t="s">
        <v>95</v>
      </c>
      <c r="V31" s="6" t="s">
        <v>77</v>
      </c>
      <c r="W31" s="13" t="s">
        <v>558</v>
      </c>
      <c r="X31" s="6" t="s">
        <v>82</v>
      </c>
      <c r="Y31" s="5" t="s">
        <v>373</v>
      </c>
      <c r="Z31" s="8" t="s">
        <v>39</v>
      </c>
      <c r="AA31" s="14">
        <v>45305</v>
      </c>
      <c r="AB31" s="83">
        <f>32+6/7</f>
        <v>32.857142857142854</v>
      </c>
      <c r="AC31" s="6"/>
      <c r="AD31" s="6" t="s">
        <v>134</v>
      </c>
      <c r="AE31" s="44">
        <f t="shared" si="1"/>
        <v>27</v>
      </c>
      <c r="AF31" s="44">
        <v>0</v>
      </c>
      <c r="AG31" s="6"/>
      <c r="AH31" s="6" t="s">
        <v>80</v>
      </c>
      <c r="AI31" s="27" t="s">
        <v>558</v>
      </c>
      <c r="AJ31" s="6" t="s">
        <v>82</v>
      </c>
      <c r="AK31" s="6" t="s">
        <v>83</v>
      </c>
      <c r="AL31" s="6" t="s">
        <v>134</v>
      </c>
      <c r="AM31" s="83">
        <f>32+6/7</f>
        <v>32.857142857142854</v>
      </c>
      <c r="AN31" s="6" t="s">
        <v>342</v>
      </c>
      <c r="AO31" s="6">
        <v>0</v>
      </c>
      <c r="AQ31" s="174" t="s">
        <v>608</v>
      </c>
      <c r="AR31" s="175" t="s">
        <v>755</v>
      </c>
      <c r="AS31" s="176" t="s">
        <v>754</v>
      </c>
      <c r="AY31" s="174" t="s">
        <v>657</v>
      </c>
      <c r="AZ31" s="176"/>
      <c r="BB31" s="174" t="s">
        <v>207</v>
      </c>
      <c r="BC31" s="176"/>
      <c r="BE31" s="174" t="s">
        <v>652</v>
      </c>
      <c r="BF31" s="175"/>
      <c r="BG31" s="175"/>
      <c r="BH31" s="176"/>
    </row>
    <row r="32" spans="1:65" ht="75.75" thickBot="1" x14ac:dyDescent="0.3">
      <c r="A32" s="59">
        <v>415784</v>
      </c>
      <c r="B32" s="59" t="s">
        <v>3</v>
      </c>
      <c r="C32" s="6" t="s">
        <v>39</v>
      </c>
      <c r="D32" s="14">
        <v>45147</v>
      </c>
      <c r="E32" s="14">
        <v>45317</v>
      </c>
      <c r="F32" s="6" t="s">
        <v>77</v>
      </c>
      <c r="G32" s="14">
        <v>29569</v>
      </c>
      <c r="H32" s="44">
        <f t="shared" si="0"/>
        <v>42</v>
      </c>
      <c r="I32" s="6">
        <v>3</v>
      </c>
      <c r="J32" s="6">
        <v>26</v>
      </c>
      <c r="K32" s="6" t="s">
        <v>30</v>
      </c>
      <c r="L32" s="6" t="s">
        <v>78</v>
      </c>
      <c r="M32" s="27"/>
      <c r="N32" s="27"/>
      <c r="O32" s="6"/>
      <c r="P32" s="83">
        <f>26+2/7</f>
        <v>26.285714285714285</v>
      </c>
      <c r="Q32" s="6">
        <v>3</v>
      </c>
      <c r="R32" s="6">
        <v>0</v>
      </c>
      <c r="S32" s="6">
        <v>1</v>
      </c>
      <c r="T32" s="6" t="s">
        <v>71</v>
      </c>
      <c r="U32" s="6" t="s">
        <v>95</v>
      </c>
      <c r="V32" s="6" t="s">
        <v>77</v>
      </c>
      <c r="W32" s="13" t="s">
        <v>560</v>
      </c>
      <c r="X32" s="6" t="s">
        <v>82</v>
      </c>
      <c r="Y32" s="5" t="s">
        <v>373</v>
      </c>
      <c r="Z32" s="8" t="s">
        <v>39</v>
      </c>
      <c r="AA32" s="12">
        <v>45374</v>
      </c>
      <c r="AB32" s="83">
        <f>34+3/7</f>
        <v>34.428571428571431</v>
      </c>
      <c r="AC32" s="6"/>
      <c r="AD32" s="27" t="s">
        <v>616</v>
      </c>
      <c r="AE32" s="44">
        <f t="shared" si="1"/>
        <v>57</v>
      </c>
      <c r="AF32" s="44">
        <v>2</v>
      </c>
      <c r="AG32" s="27" t="s">
        <v>763</v>
      </c>
      <c r="AH32" s="6" t="s">
        <v>71</v>
      </c>
      <c r="AI32" s="27" t="s">
        <v>560</v>
      </c>
      <c r="AJ32" s="6" t="s">
        <v>82</v>
      </c>
      <c r="AK32" s="6" t="s">
        <v>83</v>
      </c>
      <c r="AL32" s="6" t="s">
        <v>343</v>
      </c>
      <c r="AM32" s="83">
        <f>35+1/7</f>
        <v>35.142857142857146</v>
      </c>
      <c r="AN32" s="6" t="s">
        <v>343</v>
      </c>
      <c r="AO32" s="6">
        <v>5</v>
      </c>
      <c r="AQ32" s="182" t="s">
        <v>611</v>
      </c>
      <c r="AR32" s="187" t="s">
        <v>756</v>
      </c>
      <c r="AS32" s="183" t="s">
        <v>757</v>
      </c>
      <c r="AT32" s="54"/>
      <c r="AY32" s="180" t="s">
        <v>775</v>
      </c>
      <c r="AZ32" s="181"/>
      <c r="BB32" s="180" t="s">
        <v>632</v>
      </c>
      <c r="BC32" s="181">
        <v>38.57</v>
      </c>
      <c r="BE32" s="180" t="s">
        <v>22</v>
      </c>
      <c r="BF32" s="177" t="s">
        <v>783</v>
      </c>
      <c r="BG32" s="177" t="s">
        <v>782</v>
      </c>
      <c r="BH32" s="181"/>
    </row>
    <row r="33" spans="1:60" ht="45.75" thickBot="1" x14ac:dyDescent="0.3">
      <c r="A33" s="59">
        <v>514682</v>
      </c>
      <c r="B33" s="59" t="s">
        <v>3</v>
      </c>
      <c r="C33" s="6" t="s">
        <v>39</v>
      </c>
      <c r="D33" s="14">
        <v>45096</v>
      </c>
      <c r="E33" s="14">
        <v>45313</v>
      </c>
      <c r="F33" s="6" t="s">
        <v>77</v>
      </c>
      <c r="G33" s="14">
        <v>33985</v>
      </c>
      <c r="H33" s="44">
        <f t="shared" si="0"/>
        <v>30</v>
      </c>
      <c r="I33" s="6">
        <v>0</v>
      </c>
      <c r="J33" s="6">
        <v>25</v>
      </c>
      <c r="K33" s="6" t="s">
        <v>30</v>
      </c>
      <c r="L33" s="6" t="s">
        <v>78</v>
      </c>
      <c r="M33" s="6"/>
      <c r="N33" s="6" t="s">
        <v>92</v>
      </c>
      <c r="O33" s="6"/>
      <c r="P33" s="83">
        <f>33</f>
        <v>33</v>
      </c>
      <c r="Q33" s="6">
        <v>3</v>
      </c>
      <c r="R33" s="6">
        <v>0</v>
      </c>
      <c r="S33" s="6">
        <v>1</v>
      </c>
      <c r="T33" s="6" t="s">
        <v>80</v>
      </c>
      <c r="U33" s="6" t="s">
        <v>95</v>
      </c>
      <c r="V33" s="6" t="s">
        <v>78</v>
      </c>
      <c r="W33" s="5" t="s">
        <v>559</v>
      </c>
      <c r="X33" s="5" t="s">
        <v>82</v>
      </c>
      <c r="Y33" s="5" t="s">
        <v>373</v>
      </c>
      <c r="Z33" s="8" t="s">
        <v>39</v>
      </c>
      <c r="AA33" s="12">
        <v>45336</v>
      </c>
      <c r="AB33" s="83">
        <f>36+2/7</f>
        <v>36.285714285714285</v>
      </c>
      <c r="AC33" s="27" t="s">
        <v>220</v>
      </c>
      <c r="AD33" s="27" t="s">
        <v>616</v>
      </c>
      <c r="AE33" s="44">
        <f t="shared" si="1"/>
        <v>23</v>
      </c>
      <c r="AF33" s="44">
        <v>1</v>
      </c>
      <c r="AG33" s="27" t="s">
        <v>764</v>
      </c>
      <c r="AH33" s="27" t="s">
        <v>84</v>
      </c>
      <c r="AI33" s="6" t="s">
        <v>559</v>
      </c>
      <c r="AJ33" s="6" t="s">
        <v>82</v>
      </c>
      <c r="AK33" s="6" t="s">
        <v>96</v>
      </c>
      <c r="AL33" s="6" t="s">
        <v>493</v>
      </c>
      <c r="AM33" s="83">
        <f>36+2/7</f>
        <v>36.285714285714285</v>
      </c>
      <c r="AN33" s="6" t="s">
        <v>495</v>
      </c>
      <c r="AO33" s="6">
        <v>0</v>
      </c>
      <c r="AQ33" s="169" t="s">
        <v>614</v>
      </c>
      <c r="AR33" s="170">
        <v>38.299999999999997</v>
      </c>
      <c r="AS33" s="171" t="s">
        <v>758</v>
      </c>
      <c r="AT33" s="116"/>
      <c r="AU33" s="116"/>
      <c r="AY33" s="180" t="s">
        <v>776</v>
      </c>
      <c r="AZ33" s="181"/>
      <c r="BB33" s="180" t="s">
        <v>633</v>
      </c>
      <c r="BC33" s="181" t="s">
        <v>784</v>
      </c>
      <c r="BE33" s="189" t="s">
        <v>780</v>
      </c>
      <c r="BF33" s="187">
        <v>34.33</v>
      </c>
      <c r="BG33" s="187" t="s">
        <v>781</v>
      </c>
      <c r="BH33" s="183"/>
    </row>
    <row r="34" spans="1:60" ht="15.75" thickBot="1" x14ac:dyDescent="0.3">
      <c r="A34" s="59">
        <v>519933</v>
      </c>
      <c r="B34" s="59" t="s">
        <v>3</v>
      </c>
      <c r="C34" s="6" t="s">
        <v>39</v>
      </c>
      <c r="D34" s="14">
        <v>45207</v>
      </c>
      <c r="E34" s="14">
        <v>45418</v>
      </c>
      <c r="F34" s="6" t="s">
        <v>77</v>
      </c>
      <c r="G34" s="14">
        <v>31131</v>
      </c>
      <c r="H34" s="44">
        <f t="shared" si="0"/>
        <v>38</v>
      </c>
      <c r="I34" s="6">
        <v>3</v>
      </c>
      <c r="J34" s="6">
        <v>26</v>
      </c>
      <c r="K34" s="6" t="s">
        <v>30</v>
      </c>
      <c r="L34" s="6" t="s">
        <v>78</v>
      </c>
      <c r="M34" s="6"/>
      <c r="N34" s="6"/>
      <c r="O34" s="6"/>
      <c r="P34" s="83">
        <f>32+1/7</f>
        <v>32.142857142857146</v>
      </c>
      <c r="Q34" s="6">
        <v>3</v>
      </c>
      <c r="R34" s="6">
        <v>0</v>
      </c>
      <c r="S34" s="6">
        <v>0.25</v>
      </c>
      <c r="T34" s="6" t="s">
        <v>80</v>
      </c>
      <c r="U34" s="6" t="s">
        <v>95</v>
      </c>
      <c r="V34" s="6" t="s">
        <v>78</v>
      </c>
      <c r="W34" s="13" t="s">
        <v>558</v>
      </c>
      <c r="X34" s="5" t="s">
        <v>82</v>
      </c>
      <c r="Y34" s="5" t="s">
        <v>373</v>
      </c>
      <c r="Z34" s="8" t="s">
        <v>39</v>
      </c>
      <c r="AA34" s="12">
        <v>45446</v>
      </c>
      <c r="AB34" s="83">
        <f>36+1/7</f>
        <v>36.142857142857146</v>
      </c>
      <c r="AC34" s="6"/>
      <c r="AD34" s="27" t="s">
        <v>616</v>
      </c>
      <c r="AE34" s="44">
        <f t="shared" si="1"/>
        <v>28</v>
      </c>
      <c r="AF34" s="44">
        <v>1</v>
      </c>
      <c r="AG34" s="6" t="s">
        <v>343</v>
      </c>
      <c r="AH34" s="6" t="s">
        <v>80</v>
      </c>
      <c r="AI34" s="27" t="s">
        <v>558</v>
      </c>
      <c r="AJ34" s="6" t="s">
        <v>82</v>
      </c>
      <c r="AK34" s="6" t="s">
        <v>83</v>
      </c>
      <c r="AL34" s="6" t="s">
        <v>343</v>
      </c>
      <c r="AM34" s="83">
        <f>36+3/7</f>
        <v>36.428571428571431</v>
      </c>
      <c r="AN34" s="6" t="s">
        <v>496</v>
      </c>
      <c r="AO34" s="6">
        <v>2</v>
      </c>
      <c r="AQ34" s="54"/>
      <c r="AR34" s="54"/>
      <c r="AS34" s="54"/>
      <c r="AT34" s="54"/>
      <c r="AU34" s="54"/>
      <c r="AY34" s="180" t="s">
        <v>777</v>
      </c>
      <c r="AZ34" s="193"/>
      <c r="BB34" s="180" t="s">
        <v>634</v>
      </c>
      <c r="BC34" s="181"/>
    </row>
    <row r="35" spans="1:60" ht="30" x14ac:dyDescent="0.25">
      <c r="A35" s="59">
        <v>522718</v>
      </c>
      <c r="B35" s="59" t="s">
        <v>3</v>
      </c>
      <c r="C35" s="6" t="s">
        <v>39</v>
      </c>
      <c r="D35" s="14">
        <v>45231</v>
      </c>
      <c r="E35" s="14">
        <v>45475</v>
      </c>
      <c r="F35" s="6" t="s">
        <v>77</v>
      </c>
      <c r="G35" s="14">
        <v>30401</v>
      </c>
      <c r="H35" s="44">
        <f t="shared" si="0"/>
        <v>40</v>
      </c>
      <c r="I35" s="6">
        <v>1</v>
      </c>
      <c r="J35" s="6">
        <v>26</v>
      </c>
      <c r="K35" s="6" t="s">
        <v>30</v>
      </c>
      <c r="L35" s="6" t="s">
        <v>78</v>
      </c>
      <c r="M35" s="27" t="s">
        <v>540</v>
      </c>
      <c r="N35" s="27"/>
      <c r="O35" s="6" t="s">
        <v>84</v>
      </c>
      <c r="P35" s="83">
        <f>36+6/7</f>
        <v>36.857142857142854</v>
      </c>
      <c r="Q35" s="6">
        <v>3</v>
      </c>
      <c r="R35" s="6">
        <v>0</v>
      </c>
      <c r="S35" s="6">
        <v>1</v>
      </c>
      <c r="T35" s="6" t="s">
        <v>84</v>
      </c>
      <c r="U35" s="6" t="s">
        <v>95</v>
      </c>
      <c r="V35" s="6" t="s">
        <v>78</v>
      </c>
      <c r="W35" s="5" t="s">
        <v>559</v>
      </c>
      <c r="X35" s="5" t="s">
        <v>82</v>
      </c>
      <c r="Y35" s="5" t="s">
        <v>373</v>
      </c>
      <c r="Z35" s="8" t="s">
        <v>39</v>
      </c>
      <c r="AA35" s="12">
        <v>45484</v>
      </c>
      <c r="AB35" s="83">
        <f>38+1/7</f>
        <v>38.142857142857146</v>
      </c>
      <c r="AC35" s="6" t="s">
        <v>84</v>
      </c>
      <c r="AD35" s="27" t="s">
        <v>616</v>
      </c>
      <c r="AE35" s="44">
        <f t="shared" si="1"/>
        <v>9</v>
      </c>
      <c r="AF35" s="44">
        <v>1</v>
      </c>
      <c r="AG35" s="27" t="s">
        <v>115</v>
      </c>
      <c r="AH35" s="27" t="s">
        <v>84</v>
      </c>
      <c r="AI35" s="6" t="s">
        <v>559</v>
      </c>
      <c r="AJ35" s="6" t="s">
        <v>82</v>
      </c>
      <c r="AK35" s="6" t="s">
        <v>83</v>
      </c>
      <c r="AL35" s="6" t="s">
        <v>84</v>
      </c>
      <c r="AM35" s="83">
        <f>38+1/7</f>
        <v>38.142857142857146</v>
      </c>
      <c r="AN35" s="27" t="s">
        <v>759</v>
      </c>
      <c r="AO35" s="27">
        <v>0</v>
      </c>
      <c r="AQ35" s="174" t="s">
        <v>21</v>
      </c>
      <c r="AR35" s="175"/>
      <c r="AS35" s="175"/>
      <c r="AT35" s="177"/>
      <c r="AU35" s="177"/>
      <c r="AV35" s="172"/>
      <c r="AW35" s="172"/>
      <c r="AY35" s="180" t="s">
        <v>646</v>
      </c>
      <c r="AZ35" s="181"/>
      <c r="BB35" s="180"/>
      <c r="BC35" s="181"/>
    </row>
    <row r="36" spans="1:60" ht="30" x14ac:dyDescent="0.25">
      <c r="A36" s="59">
        <v>489542</v>
      </c>
      <c r="B36" s="59" t="s">
        <v>3</v>
      </c>
      <c r="C36" s="6" t="s">
        <v>5</v>
      </c>
      <c r="D36" s="14">
        <v>45400</v>
      </c>
      <c r="E36" s="14">
        <v>45576</v>
      </c>
      <c r="F36" s="6" t="s">
        <v>77</v>
      </c>
      <c r="G36" s="14">
        <v>33925</v>
      </c>
      <c r="H36" s="44">
        <f t="shared" si="0"/>
        <v>31</v>
      </c>
      <c r="I36" s="6">
        <v>1</v>
      </c>
      <c r="J36" s="6">
        <v>42</v>
      </c>
      <c r="K36" s="6" t="s">
        <v>30</v>
      </c>
      <c r="L36" s="6" t="s">
        <v>78</v>
      </c>
      <c r="M36" s="27" t="s">
        <v>546</v>
      </c>
      <c r="N36" s="27"/>
      <c r="O36" s="6"/>
      <c r="P36" s="83">
        <v>27</v>
      </c>
      <c r="Q36" s="6">
        <v>3</v>
      </c>
      <c r="R36" s="6">
        <v>0</v>
      </c>
      <c r="S36" s="6">
        <v>1</v>
      </c>
      <c r="T36" s="6" t="s">
        <v>71</v>
      </c>
      <c r="U36" s="6" t="s">
        <v>95</v>
      </c>
      <c r="V36" s="6" t="s">
        <v>78</v>
      </c>
      <c r="W36" s="13" t="s">
        <v>558</v>
      </c>
      <c r="X36" s="6" t="s">
        <v>82</v>
      </c>
      <c r="Y36" s="5" t="s">
        <v>373</v>
      </c>
      <c r="Z36" s="8" t="s">
        <v>39</v>
      </c>
      <c r="AA36" s="12">
        <v>45657</v>
      </c>
      <c r="AB36" s="83">
        <f>38+5/7</f>
        <v>38.714285714285715</v>
      </c>
      <c r="AC36" s="6"/>
      <c r="AD36" s="27" t="s">
        <v>616</v>
      </c>
      <c r="AE36" s="44">
        <f t="shared" si="1"/>
        <v>81</v>
      </c>
      <c r="AF36" s="44">
        <v>1</v>
      </c>
      <c r="AG36" s="27" t="s">
        <v>99</v>
      </c>
      <c r="AH36" s="6" t="s">
        <v>80</v>
      </c>
      <c r="AI36" s="27" t="s">
        <v>558</v>
      </c>
      <c r="AJ36" s="6" t="s">
        <v>82</v>
      </c>
      <c r="AK36" s="6" t="s">
        <v>83</v>
      </c>
      <c r="AL36" s="6" t="s">
        <v>260</v>
      </c>
      <c r="AM36" s="83">
        <f>38+5/7</f>
        <v>38.714285714285715</v>
      </c>
      <c r="AN36" s="6" t="s">
        <v>260</v>
      </c>
      <c r="AO36" s="6">
        <v>0</v>
      </c>
      <c r="AQ36" s="180" t="s">
        <v>207</v>
      </c>
      <c r="AR36" s="177">
        <v>10</v>
      </c>
      <c r="AS36" s="177" t="s">
        <v>760</v>
      </c>
      <c r="AT36" s="177"/>
      <c r="AU36" s="177"/>
      <c r="AV36" s="172"/>
      <c r="AW36" s="172"/>
      <c r="AY36" s="180" t="s">
        <v>778</v>
      </c>
      <c r="AZ36" s="181"/>
      <c r="BB36" s="180" t="s">
        <v>785</v>
      </c>
      <c r="BC36" s="181">
        <v>4</v>
      </c>
    </row>
    <row r="37" spans="1:60" x14ac:dyDescent="0.25">
      <c r="AB37" s="188"/>
      <c r="AE37" s="41"/>
      <c r="AM37" s="188"/>
      <c r="AQ37" s="180" t="s">
        <v>134</v>
      </c>
      <c r="AR37" s="177">
        <v>5</v>
      </c>
      <c r="AS37" s="177" t="s">
        <v>651</v>
      </c>
      <c r="AT37" s="177"/>
      <c r="AU37" s="177"/>
      <c r="AV37" s="172"/>
      <c r="AW37" s="172"/>
      <c r="AY37" s="180" t="s">
        <v>779</v>
      </c>
      <c r="AZ37" s="181"/>
      <c r="BB37" s="180" t="s">
        <v>84</v>
      </c>
      <c r="BC37" s="181">
        <v>2</v>
      </c>
    </row>
    <row r="38" spans="1:60" ht="15.75" thickBot="1" x14ac:dyDescent="0.3">
      <c r="AQ38" s="189" t="s">
        <v>616</v>
      </c>
      <c r="AR38" s="187">
        <v>20</v>
      </c>
      <c r="AS38" s="187" t="s">
        <v>762</v>
      </c>
      <c r="AT38" s="177"/>
      <c r="AU38" s="177"/>
      <c r="AV38" s="172"/>
      <c r="AW38" s="172"/>
      <c r="AY38" s="182" t="s">
        <v>647</v>
      </c>
      <c r="AZ38" s="183"/>
      <c r="BB38" s="180" t="s">
        <v>343</v>
      </c>
      <c r="BC38" s="181">
        <v>4</v>
      </c>
    </row>
    <row r="39" spans="1:60" ht="15.75" thickBot="1" x14ac:dyDescent="0.3">
      <c r="AQ39" s="126"/>
      <c r="AT39" s="54"/>
      <c r="AU39" s="54"/>
    </row>
    <row r="40" spans="1:60" x14ac:dyDescent="0.25">
      <c r="AQ40" s="174" t="s">
        <v>618</v>
      </c>
      <c r="AR40" s="175"/>
      <c r="AS40" s="175"/>
      <c r="AT40" s="54"/>
      <c r="AU40" s="54"/>
    </row>
    <row r="41" spans="1:60" ht="15.75" thickBot="1" x14ac:dyDescent="0.3">
      <c r="AQ41" s="180" t="s">
        <v>110</v>
      </c>
      <c r="AR41" s="177">
        <v>11</v>
      </c>
      <c r="AS41" s="177"/>
      <c r="AT41" s="54"/>
      <c r="AU41" s="54"/>
    </row>
    <row r="42" spans="1:60" x14ac:dyDescent="0.25">
      <c r="AQ42" s="180" t="s">
        <v>619</v>
      </c>
      <c r="AR42" s="177">
        <v>20</v>
      </c>
      <c r="AS42" s="177"/>
      <c r="AT42" s="54"/>
      <c r="AU42" s="54"/>
      <c r="AW42" s="174" t="s">
        <v>658</v>
      </c>
      <c r="AX42" s="175"/>
      <c r="AY42" s="176"/>
    </row>
    <row r="43" spans="1:60" x14ac:dyDescent="0.25">
      <c r="AQ43" s="180" t="s">
        <v>620</v>
      </c>
      <c r="AR43" s="177">
        <v>1</v>
      </c>
      <c r="AS43" s="177"/>
      <c r="AT43" s="54"/>
      <c r="AU43" s="54"/>
      <c r="AW43" s="180" t="s">
        <v>480</v>
      </c>
      <c r="AX43" s="177">
        <v>1</v>
      </c>
      <c r="AY43" s="181"/>
    </row>
    <row r="44" spans="1:60" ht="15.75" thickBot="1" x14ac:dyDescent="0.3">
      <c r="AQ44" s="182" t="s">
        <v>621</v>
      </c>
      <c r="AR44" s="187">
        <v>10</v>
      </c>
      <c r="AS44" s="187" t="s">
        <v>766</v>
      </c>
      <c r="AT44" s="54"/>
      <c r="AU44" s="54"/>
      <c r="AW44" s="180" t="s">
        <v>343</v>
      </c>
      <c r="AX44" s="177">
        <v>7</v>
      </c>
      <c r="AY44" s="181"/>
    </row>
    <row r="45" spans="1:60" ht="15.75" thickBot="1" x14ac:dyDescent="0.3">
      <c r="AQ45" s="54"/>
      <c r="AR45" s="54"/>
      <c r="AT45" s="54"/>
      <c r="AU45" s="54"/>
      <c r="AW45" s="180" t="s">
        <v>774</v>
      </c>
      <c r="AX45" s="177">
        <v>1</v>
      </c>
      <c r="AY45" s="181"/>
    </row>
    <row r="46" spans="1:60" x14ac:dyDescent="0.25">
      <c r="AQ46" s="174" t="s">
        <v>659</v>
      </c>
      <c r="AR46" s="175"/>
      <c r="AS46" s="175"/>
      <c r="AT46" s="177"/>
      <c r="AU46" s="177"/>
      <c r="AW46" s="180" t="s">
        <v>332</v>
      </c>
      <c r="AX46" s="177">
        <v>1</v>
      </c>
      <c r="AY46" s="181"/>
    </row>
    <row r="47" spans="1:60" ht="165" x14ac:dyDescent="0.25">
      <c r="AQ47" s="192" t="s">
        <v>769</v>
      </c>
      <c r="AR47" s="177"/>
      <c r="AS47" s="177"/>
      <c r="AT47" s="177"/>
      <c r="AU47" s="177"/>
      <c r="AW47" s="180"/>
      <c r="AX47" s="177"/>
      <c r="AY47" s="181"/>
    </row>
    <row r="48" spans="1:60" x14ac:dyDescent="0.25">
      <c r="AQ48" s="180" t="s">
        <v>770</v>
      </c>
      <c r="AR48" s="177"/>
      <c r="AS48" s="177"/>
      <c r="AT48" s="177"/>
      <c r="AU48" s="177"/>
      <c r="AW48" s="180"/>
      <c r="AX48" s="177"/>
      <c r="AY48" s="181"/>
    </row>
    <row r="49" spans="30:51" ht="15.75" thickBot="1" x14ac:dyDescent="0.3">
      <c r="AD49" s="15"/>
      <c r="AQ49" s="132"/>
      <c r="AR49" s="119"/>
      <c r="AS49" s="119"/>
      <c r="AT49" s="54"/>
      <c r="AU49" s="54"/>
      <c r="AW49" s="180"/>
      <c r="AX49" s="177"/>
      <c r="AY49" s="181"/>
    </row>
    <row r="50" spans="30:51" ht="15.75" thickBot="1" x14ac:dyDescent="0.3">
      <c r="AD50" s="15"/>
      <c r="AT50" s="54"/>
      <c r="AU50" s="54"/>
      <c r="AW50" s="182"/>
      <c r="AX50" s="187"/>
      <c r="AY50" s="183"/>
    </row>
    <row r="51" spans="30:51" x14ac:dyDescent="0.25">
      <c r="AD51" s="15"/>
      <c r="AT51" s="54"/>
      <c r="AU51" s="54"/>
      <c r="AW51" s="180" t="s">
        <v>771</v>
      </c>
      <c r="AX51" s="172"/>
      <c r="AY51" s="172"/>
    </row>
    <row r="52" spans="30:51" x14ac:dyDescent="0.25">
      <c r="AD52" s="15"/>
      <c r="AT52" s="54"/>
      <c r="AU52" s="54"/>
      <c r="AW52" s="180" t="s">
        <v>671</v>
      </c>
      <c r="AX52" s="172"/>
      <c r="AY52" s="172"/>
    </row>
    <row r="53" spans="30:51" x14ac:dyDescent="0.25">
      <c r="AD53" s="15"/>
      <c r="AT53" s="54"/>
      <c r="AU53" s="54"/>
      <c r="AW53" s="180" t="s">
        <v>773</v>
      </c>
      <c r="AX53" s="172"/>
      <c r="AY53" s="172"/>
    </row>
    <row r="54" spans="30:51" x14ac:dyDescent="0.25">
      <c r="AD54" s="15"/>
      <c r="AW54" s="180" t="s">
        <v>772</v>
      </c>
      <c r="AX54" s="172"/>
      <c r="AY54" s="172"/>
    </row>
    <row r="55" spans="30:51" x14ac:dyDescent="0.25">
      <c r="AD55" s="15"/>
    </row>
    <row r="56" spans="30:51" x14ac:dyDescent="0.25">
      <c r="AD56" s="15"/>
    </row>
    <row r="57" spans="30:51" x14ac:dyDescent="0.25">
      <c r="AD57" s="15"/>
    </row>
    <row r="58" spans="30:51" x14ac:dyDescent="0.25">
      <c r="AD58" s="15"/>
    </row>
    <row r="59" spans="30:51" x14ac:dyDescent="0.25">
      <c r="AD59" s="15"/>
    </row>
    <row r="60" spans="30:51" x14ac:dyDescent="0.25">
      <c r="AD60" s="15"/>
    </row>
    <row r="61" spans="30:51" x14ac:dyDescent="0.25">
      <c r="AD61" s="15"/>
    </row>
    <row r="62" spans="30:51" x14ac:dyDescent="0.25">
      <c r="AD62" s="15"/>
    </row>
    <row r="63" spans="30:51" x14ac:dyDescent="0.25">
      <c r="AD63" s="15"/>
    </row>
    <row r="64" spans="30:51" x14ac:dyDescent="0.25">
      <c r="AD64" s="15"/>
    </row>
    <row r="65" spans="30:30" x14ac:dyDescent="0.25">
      <c r="AD65" s="15"/>
    </row>
    <row r="66" spans="30:30" x14ac:dyDescent="0.25">
      <c r="AD66" s="15"/>
    </row>
    <row r="67" spans="30:30" x14ac:dyDescent="0.25">
      <c r="AD67" s="15"/>
    </row>
    <row r="68" spans="30:30" x14ac:dyDescent="0.25">
      <c r="AD68" s="15"/>
    </row>
  </sheetData>
  <autoFilter ref="A1:AO1" xr:uid="{AEBC4A4B-C6E1-417E-B718-731D02689E4C}">
    <sortState ref="A2:AO36">
      <sortCondition descending="1" ref="Z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ED5A-9B28-486F-A03F-0F49B95167D2}">
  <dimension ref="A1:BK54"/>
  <sheetViews>
    <sheetView topLeftCell="AG1" workbookViewId="0">
      <selection activeCell="AV49" sqref="AV49"/>
    </sheetView>
  </sheetViews>
  <sheetFormatPr baseColWidth="10" defaultRowHeight="15" x14ac:dyDescent="0.25"/>
  <cols>
    <col min="2" max="7" width="0" hidden="1" customWidth="1"/>
    <col min="27" max="27" width="0" hidden="1" customWidth="1"/>
    <col min="28" max="28" width="11.42578125" style="130"/>
    <col min="39" max="39" width="11.42578125" style="130"/>
  </cols>
  <sheetData>
    <row r="1" spans="1:63" ht="90.75" thickBot="1" x14ac:dyDescent="0.3">
      <c r="A1" s="28" t="s">
        <v>0</v>
      </c>
      <c r="B1" s="18" t="s">
        <v>1</v>
      </c>
      <c r="C1" s="18" t="s">
        <v>36</v>
      </c>
      <c r="D1" s="18" t="s">
        <v>40</v>
      </c>
      <c r="E1" s="18" t="s">
        <v>2</v>
      </c>
      <c r="F1" s="18" t="s">
        <v>37</v>
      </c>
      <c r="G1" s="19" t="s">
        <v>29</v>
      </c>
      <c r="H1" s="19" t="s">
        <v>126</v>
      </c>
      <c r="I1" s="19" t="s">
        <v>11</v>
      </c>
      <c r="J1" s="19" t="s">
        <v>12</v>
      </c>
      <c r="K1" s="19" t="s">
        <v>13</v>
      </c>
      <c r="L1" s="19" t="s">
        <v>35</v>
      </c>
      <c r="M1" s="19" t="s">
        <v>534</v>
      </c>
      <c r="N1" s="19" t="s">
        <v>535</v>
      </c>
      <c r="O1" s="19" t="s">
        <v>15</v>
      </c>
      <c r="P1" s="20" t="s">
        <v>38</v>
      </c>
      <c r="Q1" s="20" t="s">
        <v>16</v>
      </c>
      <c r="R1" s="20" t="s">
        <v>17</v>
      </c>
      <c r="S1" s="20" t="s">
        <v>18</v>
      </c>
      <c r="T1" s="21" t="s">
        <v>25</v>
      </c>
      <c r="U1" s="22" t="s">
        <v>33</v>
      </c>
      <c r="V1" s="22" t="s">
        <v>75</v>
      </c>
      <c r="W1" s="21" t="s">
        <v>26</v>
      </c>
      <c r="X1" s="21" t="s">
        <v>27</v>
      </c>
      <c r="Y1" s="21" t="s">
        <v>28</v>
      </c>
      <c r="Z1" s="21" t="s">
        <v>34</v>
      </c>
      <c r="AA1" s="23" t="s">
        <v>32</v>
      </c>
      <c r="AB1" s="23" t="s">
        <v>19</v>
      </c>
      <c r="AC1" s="23" t="s">
        <v>20</v>
      </c>
      <c r="AD1" s="23" t="s">
        <v>21</v>
      </c>
      <c r="AE1" s="23" t="s">
        <v>22</v>
      </c>
      <c r="AF1" s="38" t="s">
        <v>255</v>
      </c>
      <c r="AG1" s="38" t="s">
        <v>256</v>
      </c>
      <c r="AH1" s="23" t="s">
        <v>41</v>
      </c>
      <c r="AI1" s="23" t="s">
        <v>26</v>
      </c>
      <c r="AJ1" s="23" t="s">
        <v>31</v>
      </c>
      <c r="AK1" s="23" t="s">
        <v>91</v>
      </c>
      <c r="AL1" s="39" t="s">
        <v>254</v>
      </c>
      <c r="AM1" s="39" t="s">
        <v>265</v>
      </c>
      <c r="AN1" s="79" t="s">
        <v>549</v>
      </c>
      <c r="AO1" s="51" t="s">
        <v>829</v>
      </c>
      <c r="AR1" s="169" t="s">
        <v>830</v>
      </c>
      <c r="AS1" s="170"/>
      <c r="AT1" s="170" t="s">
        <v>838</v>
      </c>
      <c r="AU1" s="171"/>
      <c r="AV1" s="172"/>
      <c r="AW1" s="173" t="s">
        <v>836</v>
      </c>
      <c r="BG1" s="146" t="s">
        <v>734</v>
      </c>
      <c r="BH1" s="149" t="s">
        <v>39</v>
      </c>
      <c r="BI1" s="149" t="s">
        <v>76</v>
      </c>
      <c r="BJ1" s="149" t="s">
        <v>4</v>
      </c>
      <c r="BK1" s="150" t="s">
        <v>735</v>
      </c>
    </row>
    <row r="2" spans="1:63" ht="45.75" thickBot="1" x14ac:dyDescent="0.3">
      <c r="A2" s="60">
        <v>521049</v>
      </c>
      <c r="B2" s="6" t="s">
        <v>7</v>
      </c>
      <c r="C2" s="46" t="s">
        <v>76</v>
      </c>
      <c r="D2" s="14">
        <v>45245</v>
      </c>
      <c r="E2" s="14">
        <v>45450</v>
      </c>
      <c r="F2" s="6" t="s">
        <v>77</v>
      </c>
      <c r="G2" s="14">
        <v>33507</v>
      </c>
      <c r="H2" s="44">
        <f t="shared" ref="H2:H19" si="0">DATEDIF(G2,D2,"Y")</f>
        <v>32</v>
      </c>
      <c r="I2" s="6">
        <v>1</v>
      </c>
      <c r="J2" s="6">
        <v>31</v>
      </c>
      <c r="K2" s="6" t="s">
        <v>30</v>
      </c>
      <c r="L2" s="6" t="s">
        <v>78</v>
      </c>
      <c r="M2" s="6"/>
      <c r="N2" s="6"/>
      <c r="O2" s="27" t="s">
        <v>238</v>
      </c>
      <c r="P2" s="83">
        <f>31+2/7</f>
        <v>31.285714285714285</v>
      </c>
      <c r="Q2" s="6">
        <v>5</v>
      </c>
      <c r="R2" s="6">
        <v>2</v>
      </c>
      <c r="S2" s="6">
        <v>2</v>
      </c>
      <c r="T2" s="5" t="s">
        <v>84</v>
      </c>
      <c r="U2" s="5" t="s">
        <v>165</v>
      </c>
      <c r="V2" s="5" t="s">
        <v>77</v>
      </c>
      <c r="W2" s="5" t="s">
        <v>559</v>
      </c>
      <c r="X2" s="5" t="s">
        <v>82</v>
      </c>
      <c r="Y2" s="5" t="s">
        <v>373</v>
      </c>
      <c r="Z2" s="8" t="s">
        <v>6</v>
      </c>
      <c r="AA2" s="12">
        <v>45453</v>
      </c>
      <c r="AB2" s="83">
        <f>31+5/7</f>
        <v>31.714285714285715</v>
      </c>
      <c r="AC2" s="6" t="s">
        <v>233</v>
      </c>
      <c r="AD2" s="6" t="s">
        <v>566</v>
      </c>
      <c r="AE2" s="44">
        <f t="shared" ref="AE2:AE19" si="1">DATEDIF(E2,AA2,"D")</f>
        <v>3</v>
      </c>
      <c r="AF2" s="44">
        <v>1</v>
      </c>
      <c r="AG2" s="27" t="s">
        <v>239</v>
      </c>
      <c r="AH2" s="6" t="s">
        <v>84</v>
      </c>
      <c r="AI2" s="6" t="s">
        <v>559</v>
      </c>
      <c r="AJ2" s="6" t="s">
        <v>82</v>
      </c>
      <c r="AK2" s="6" t="s">
        <v>240</v>
      </c>
      <c r="AL2" s="6" t="s">
        <v>4</v>
      </c>
      <c r="AM2" s="83">
        <f>31+6/7</f>
        <v>31.857142857142858</v>
      </c>
      <c r="AN2" s="6" t="s">
        <v>4</v>
      </c>
      <c r="AO2" s="6">
        <v>1</v>
      </c>
      <c r="AR2" s="174" t="s">
        <v>831</v>
      </c>
      <c r="AS2" s="175"/>
      <c r="AT2" s="175" t="s">
        <v>832</v>
      </c>
      <c r="AU2" s="176" t="s">
        <v>833</v>
      </c>
      <c r="AV2" s="177"/>
      <c r="AW2" s="172"/>
      <c r="BG2" s="147" t="s">
        <v>731</v>
      </c>
      <c r="BH2" s="5">
        <v>1</v>
      </c>
      <c r="BI2" s="5">
        <v>2</v>
      </c>
      <c r="BJ2" s="5">
        <v>0</v>
      </c>
      <c r="BK2" s="68">
        <v>3</v>
      </c>
    </row>
    <row r="3" spans="1:63" ht="15.75" thickBot="1" x14ac:dyDescent="0.3">
      <c r="A3" s="59">
        <v>527122</v>
      </c>
      <c r="B3" s="59" t="s">
        <v>3</v>
      </c>
      <c r="C3" s="8" t="s">
        <v>101</v>
      </c>
      <c r="D3" s="14">
        <v>45434</v>
      </c>
      <c r="E3" s="14">
        <v>45573</v>
      </c>
      <c r="F3" s="6" t="s">
        <v>77</v>
      </c>
      <c r="G3" s="14">
        <v>31412</v>
      </c>
      <c r="H3" s="44">
        <f t="shared" si="0"/>
        <v>38</v>
      </c>
      <c r="I3" s="6">
        <v>5</v>
      </c>
      <c r="J3" s="6">
        <v>27</v>
      </c>
      <c r="K3" s="6" t="s">
        <v>166</v>
      </c>
      <c r="L3" s="6" t="s">
        <v>78</v>
      </c>
      <c r="M3" s="6" t="s">
        <v>76</v>
      </c>
      <c r="N3" s="6"/>
      <c r="O3" s="6"/>
      <c r="P3" s="83">
        <f>21+6/7</f>
        <v>21.857142857142858</v>
      </c>
      <c r="Q3" s="6">
        <v>7</v>
      </c>
      <c r="R3" s="6">
        <v>0</v>
      </c>
      <c r="S3" s="6">
        <v>1</v>
      </c>
      <c r="T3" s="6" t="s">
        <v>80</v>
      </c>
      <c r="U3" s="6" t="s">
        <v>95</v>
      </c>
      <c r="V3" s="5" t="s">
        <v>77</v>
      </c>
      <c r="W3" s="13" t="s">
        <v>558</v>
      </c>
      <c r="X3" s="6" t="s">
        <v>82</v>
      </c>
      <c r="Y3" s="6" t="s">
        <v>193</v>
      </c>
      <c r="Z3" s="8" t="s">
        <v>127</v>
      </c>
      <c r="AA3" s="12">
        <v>45602</v>
      </c>
      <c r="AB3" s="83">
        <v>26</v>
      </c>
      <c r="AC3" s="6" t="s">
        <v>84</v>
      </c>
      <c r="AD3" s="6" t="s">
        <v>566</v>
      </c>
      <c r="AE3" s="44">
        <f t="shared" si="1"/>
        <v>29</v>
      </c>
      <c r="AF3" s="44">
        <v>1</v>
      </c>
      <c r="AG3" s="6"/>
      <c r="AH3" s="6" t="s">
        <v>84</v>
      </c>
      <c r="AI3" s="27" t="s">
        <v>558</v>
      </c>
      <c r="AJ3" s="6" t="s">
        <v>82</v>
      </c>
      <c r="AK3" s="6" t="s">
        <v>175</v>
      </c>
      <c r="AL3" s="6" t="s">
        <v>84</v>
      </c>
      <c r="AM3" s="83">
        <f>26+4/7</f>
        <v>26.571428571428573</v>
      </c>
      <c r="AN3" s="6" t="s">
        <v>260</v>
      </c>
      <c r="AO3" s="6">
        <v>4</v>
      </c>
      <c r="AR3" s="169" t="s">
        <v>834</v>
      </c>
      <c r="AS3" s="170" t="s">
        <v>835</v>
      </c>
      <c r="AT3" s="170"/>
      <c r="AU3" s="170"/>
      <c r="AV3" s="171"/>
      <c r="AW3" s="171"/>
      <c r="BG3" s="147" t="s">
        <v>730</v>
      </c>
      <c r="BH3" s="5"/>
      <c r="BI3" s="5"/>
      <c r="BJ3" s="5"/>
      <c r="BK3" s="68">
        <v>0</v>
      </c>
    </row>
    <row r="4" spans="1:63" ht="15.75" thickBot="1" x14ac:dyDescent="0.3">
      <c r="A4" s="59">
        <v>529934</v>
      </c>
      <c r="B4" s="59" t="s">
        <v>3</v>
      </c>
      <c r="C4" s="8" t="s">
        <v>4</v>
      </c>
      <c r="D4" s="14">
        <v>45409</v>
      </c>
      <c r="E4" s="14">
        <v>45631</v>
      </c>
      <c r="F4" s="6" t="s">
        <v>77</v>
      </c>
      <c r="G4" s="14">
        <v>31591</v>
      </c>
      <c r="H4" s="44">
        <f t="shared" si="0"/>
        <v>37</v>
      </c>
      <c r="I4" s="6">
        <v>4</v>
      </c>
      <c r="J4" s="6">
        <v>26</v>
      </c>
      <c r="K4" s="6" t="s">
        <v>166</v>
      </c>
      <c r="L4" s="6" t="s">
        <v>176</v>
      </c>
      <c r="M4" s="27" t="s">
        <v>4</v>
      </c>
      <c r="N4" s="6" t="s">
        <v>92</v>
      </c>
      <c r="O4" s="6"/>
      <c r="P4" s="83">
        <f>33+5/7</f>
        <v>33.714285714285715</v>
      </c>
      <c r="Q4" s="6">
        <v>7</v>
      </c>
      <c r="R4" s="6">
        <v>0</v>
      </c>
      <c r="S4" s="6">
        <v>2</v>
      </c>
      <c r="T4" s="6" t="s">
        <v>80</v>
      </c>
      <c r="U4" s="6" t="s">
        <v>95</v>
      </c>
      <c r="V4" s="5" t="s">
        <v>77</v>
      </c>
      <c r="W4" s="5" t="s">
        <v>559</v>
      </c>
      <c r="X4" s="6" t="s">
        <v>82</v>
      </c>
      <c r="Y4" s="6" t="s">
        <v>195</v>
      </c>
      <c r="Z4" s="8" t="s">
        <v>179</v>
      </c>
      <c r="AA4" s="12">
        <v>45641</v>
      </c>
      <c r="AB4" s="83">
        <f>35+1/7</f>
        <v>35.142857142857146</v>
      </c>
      <c r="AC4" s="6"/>
      <c r="AD4" s="6" t="s">
        <v>180</v>
      </c>
      <c r="AE4" s="44">
        <f t="shared" si="1"/>
        <v>10</v>
      </c>
      <c r="AF4" s="44">
        <v>1</v>
      </c>
      <c r="AG4" s="6"/>
      <c r="AH4" s="6" t="s">
        <v>80</v>
      </c>
      <c r="AI4" s="6" t="s">
        <v>559</v>
      </c>
      <c r="AJ4" s="6" t="s">
        <v>82</v>
      </c>
      <c r="AK4" s="6" t="s">
        <v>175</v>
      </c>
      <c r="AL4" s="6" t="s">
        <v>134</v>
      </c>
      <c r="AM4" s="83">
        <f>35+1/7</f>
        <v>35.142857142857146</v>
      </c>
      <c r="AN4" s="6"/>
      <c r="AO4" s="6">
        <v>0</v>
      </c>
      <c r="AR4" s="54"/>
      <c r="AS4" s="54"/>
      <c r="AT4" s="54"/>
      <c r="AU4" s="54"/>
      <c r="AV4" s="54"/>
      <c r="BG4" s="147" t="s">
        <v>732</v>
      </c>
      <c r="BH4" s="5"/>
      <c r="BI4" s="5"/>
      <c r="BJ4" s="5"/>
      <c r="BK4" s="68">
        <v>0</v>
      </c>
    </row>
    <row r="5" spans="1:63" ht="90" x14ac:dyDescent="0.25">
      <c r="A5" s="59">
        <v>518247</v>
      </c>
      <c r="B5" s="59" t="s">
        <v>3</v>
      </c>
      <c r="C5" s="8" t="s">
        <v>4</v>
      </c>
      <c r="D5" s="14">
        <v>45159</v>
      </c>
      <c r="E5" s="14">
        <v>45380</v>
      </c>
      <c r="F5" s="6" t="s">
        <v>77</v>
      </c>
      <c r="G5" s="14">
        <v>35276</v>
      </c>
      <c r="H5" s="44">
        <f t="shared" si="0"/>
        <v>27</v>
      </c>
      <c r="I5" s="6">
        <v>0</v>
      </c>
      <c r="J5" s="6">
        <v>28</v>
      </c>
      <c r="K5" s="6" t="s">
        <v>30</v>
      </c>
      <c r="L5" s="6" t="s">
        <v>78</v>
      </c>
      <c r="M5" s="6"/>
      <c r="N5" s="6"/>
      <c r="O5" s="6" t="s">
        <v>84</v>
      </c>
      <c r="P5" s="83">
        <f>33+4/7</f>
        <v>33.571428571428569</v>
      </c>
      <c r="Q5" s="6">
        <v>7</v>
      </c>
      <c r="R5" s="6">
        <v>0</v>
      </c>
      <c r="S5" s="6">
        <v>2</v>
      </c>
      <c r="T5" s="6" t="s">
        <v>84</v>
      </c>
      <c r="U5" s="5" t="s">
        <v>165</v>
      </c>
      <c r="V5" s="5" t="s">
        <v>77</v>
      </c>
      <c r="W5" s="13" t="s">
        <v>558</v>
      </c>
      <c r="X5" s="6" t="s">
        <v>82</v>
      </c>
      <c r="Y5" s="6" t="s">
        <v>198</v>
      </c>
      <c r="Z5" s="8" t="s">
        <v>4</v>
      </c>
      <c r="AA5" s="12">
        <v>45394</v>
      </c>
      <c r="AB5" s="83">
        <f>35+4/7</f>
        <v>35.571428571428569</v>
      </c>
      <c r="AC5" s="6"/>
      <c r="AD5" s="6" t="s">
        <v>180</v>
      </c>
      <c r="AE5" s="44">
        <f t="shared" si="1"/>
        <v>14</v>
      </c>
      <c r="AF5" s="44">
        <v>1</v>
      </c>
      <c r="AG5" s="6"/>
      <c r="AH5" s="6" t="s">
        <v>84</v>
      </c>
      <c r="AI5" s="27" t="s">
        <v>558</v>
      </c>
      <c r="AJ5" s="6" t="s">
        <v>200</v>
      </c>
      <c r="AK5" s="6" t="s">
        <v>201</v>
      </c>
      <c r="AL5" s="6" t="s">
        <v>134</v>
      </c>
      <c r="AM5" s="83">
        <f>35+4/7</f>
        <v>35.571428571428569</v>
      </c>
      <c r="AN5" s="6"/>
      <c r="AO5" s="6">
        <v>0</v>
      </c>
      <c r="AR5" s="174" t="s">
        <v>26</v>
      </c>
      <c r="AS5" s="176"/>
      <c r="AT5" s="179" t="s">
        <v>839</v>
      </c>
      <c r="AU5" s="199" t="s">
        <v>841</v>
      </c>
      <c r="AV5" s="172" t="s">
        <v>840</v>
      </c>
      <c r="AW5" s="172"/>
      <c r="AX5" s="172"/>
      <c r="AY5" s="172"/>
      <c r="BG5" s="147" t="s">
        <v>733</v>
      </c>
      <c r="BH5" s="5">
        <v>1</v>
      </c>
      <c r="BI5" s="5"/>
      <c r="BJ5" s="5">
        <v>14</v>
      </c>
      <c r="BK5" s="68">
        <v>15</v>
      </c>
    </row>
    <row r="6" spans="1:63" ht="15.75" thickBot="1" x14ac:dyDescent="0.3">
      <c r="A6" s="60">
        <v>528319</v>
      </c>
      <c r="B6" s="6" t="s">
        <v>7</v>
      </c>
      <c r="C6" s="46" t="s">
        <v>4</v>
      </c>
      <c r="D6" s="14">
        <v>45377</v>
      </c>
      <c r="E6" s="14">
        <v>45605</v>
      </c>
      <c r="F6" s="6" t="s">
        <v>77</v>
      </c>
      <c r="G6" s="14">
        <v>32693</v>
      </c>
      <c r="H6" s="44">
        <f t="shared" si="0"/>
        <v>34</v>
      </c>
      <c r="I6" s="6">
        <v>0</v>
      </c>
      <c r="J6" s="6">
        <v>33</v>
      </c>
      <c r="K6" s="6" t="s">
        <v>30</v>
      </c>
      <c r="L6" s="6" t="s">
        <v>78</v>
      </c>
      <c r="M6" s="6"/>
      <c r="N6" s="6"/>
      <c r="O6" s="6" t="s">
        <v>84</v>
      </c>
      <c r="P6" s="83">
        <f>34+4/7</f>
        <v>34.571428571428569</v>
      </c>
      <c r="Q6" s="6">
        <v>7</v>
      </c>
      <c r="R6" s="6">
        <v>1</v>
      </c>
      <c r="S6" s="6">
        <v>1</v>
      </c>
      <c r="T6" s="5" t="s">
        <v>84</v>
      </c>
      <c r="U6" s="5" t="s">
        <v>165</v>
      </c>
      <c r="V6" s="5" t="s">
        <v>77</v>
      </c>
      <c r="W6" s="5" t="s">
        <v>559</v>
      </c>
      <c r="X6" s="5" t="s">
        <v>82</v>
      </c>
      <c r="Y6" s="5" t="s">
        <v>373</v>
      </c>
      <c r="Z6" s="178" t="s">
        <v>76</v>
      </c>
      <c r="AA6" s="12">
        <v>45610</v>
      </c>
      <c r="AB6" s="83">
        <f>35+3/7</f>
        <v>35.428571428571431</v>
      </c>
      <c r="AC6" s="6"/>
      <c r="AD6" s="6" t="s">
        <v>387</v>
      </c>
      <c r="AE6" s="44">
        <f t="shared" si="1"/>
        <v>5</v>
      </c>
      <c r="AF6" s="44">
        <v>0</v>
      </c>
      <c r="AG6" s="6"/>
      <c r="AH6" s="6" t="s">
        <v>84</v>
      </c>
      <c r="AI6" s="6" t="s">
        <v>559</v>
      </c>
      <c r="AJ6" s="6" t="s">
        <v>82</v>
      </c>
      <c r="AK6" s="6" t="s">
        <v>83</v>
      </c>
      <c r="AL6" s="6" t="s">
        <v>207</v>
      </c>
      <c r="AM6" s="83">
        <f>35+4/7</f>
        <v>35.571428571428569</v>
      </c>
      <c r="AN6" s="6" t="s">
        <v>84</v>
      </c>
      <c r="AO6" s="6">
        <v>1</v>
      </c>
      <c r="AR6" s="180" t="s">
        <v>110</v>
      </c>
      <c r="AS6" s="181">
        <v>0</v>
      </c>
      <c r="AT6" s="172"/>
      <c r="AU6" s="172"/>
      <c r="AV6" s="177"/>
      <c r="AW6" s="172"/>
      <c r="AX6" s="172"/>
      <c r="AY6" s="172"/>
      <c r="BG6" s="148" t="s">
        <v>736</v>
      </c>
      <c r="BH6" s="145">
        <f>SUM(BH2:BH5)</f>
        <v>2</v>
      </c>
      <c r="BI6" s="145">
        <f>SUM(BI2:BI5)</f>
        <v>2</v>
      </c>
      <c r="BJ6" s="145">
        <f>SUM(BJ2:BJ5)</f>
        <v>14</v>
      </c>
      <c r="BK6" s="68">
        <f>SUM(BK2:BK5)</f>
        <v>18</v>
      </c>
    </row>
    <row r="7" spans="1:63" x14ac:dyDescent="0.25">
      <c r="A7" s="59">
        <v>521825</v>
      </c>
      <c r="B7" s="59" t="s">
        <v>3</v>
      </c>
      <c r="C7" s="8" t="s">
        <v>4</v>
      </c>
      <c r="D7" s="14">
        <v>45221</v>
      </c>
      <c r="E7" s="14">
        <v>45456</v>
      </c>
      <c r="F7" s="6" t="s">
        <v>77</v>
      </c>
      <c r="G7" s="14">
        <v>33880</v>
      </c>
      <c r="H7" s="44">
        <f t="shared" si="0"/>
        <v>31</v>
      </c>
      <c r="I7" s="6">
        <v>2</v>
      </c>
      <c r="J7" s="6">
        <v>23</v>
      </c>
      <c r="K7" s="6" t="s">
        <v>30</v>
      </c>
      <c r="L7" s="6" t="s">
        <v>78</v>
      </c>
      <c r="M7" s="27" t="s">
        <v>4</v>
      </c>
      <c r="N7" s="6"/>
      <c r="O7" s="6"/>
      <c r="P7" s="83">
        <f>35+4/7</f>
        <v>35.571428571428569</v>
      </c>
      <c r="Q7" s="6">
        <v>7</v>
      </c>
      <c r="R7" s="6">
        <v>0</v>
      </c>
      <c r="S7" s="6">
        <v>2</v>
      </c>
      <c r="T7" s="6" t="s">
        <v>80</v>
      </c>
      <c r="U7" s="6" t="s">
        <v>165</v>
      </c>
      <c r="V7" s="5" t="s">
        <v>78</v>
      </c>
      <c r="W7" s="5" t="s">
        <v>559</v>
      </c>
      <c r="X7" s="6" t="s">
        <v>82</v>
      </c>
      <c r="Y7" s="6" t="s">
        <v>185</v>
      </c>
      <c r="Z7" s="8" t="s">
        <v>4</v>
      </c>
      <c r="AA7" s="12">
        <v>45465</v>
      </c>
      <c r="AB7" s="83">
        <f t="shared" ref="AB7:AB12" si="2">36+6/7</f>
        <v>36.857142857142854</v>
      </c>
      <c r="AC7" s="6"/>
      <c r="AD7" s="6" t="s">
        <v>207</v>
      </c>
      <c r="AE7" s="44">
        <f t="shared" si="1"/>
        <v>9</v>
      </c>
      <c r="AF7" s="44">
        <v>0</v>
      </c>
      <c r="AG7" s="6"/>
      <c r="AH7" s="6" t="s">
        <v>80</v>
      </c>
      <c r="AI7" s="6" t="s">
        <v>559</v>
      </c>
      <c r="AJ7" s="6" t="s">
        <v>82</v>
      </c>
      <c r="AK7" s="6" t="s">
        <v>186</v>
      </c>
      <c r="AL7" s="6" t="s">
        <v>207</v>
      </c>
      <c r="AM7" s="83">
        <v>37</v>
      </c>
      <c r="AN7" s="6" t="s">
        <v>4</v>
      </c>
      <c r="AO7" s="6">
        <v>1</v>
      </c>
      <c r="AR7" s="180" t="s">
        <v>597</v>
      </c>
      <c r="AS7" s="181">
        <v>11</v>
      </c>
      <c r="AT7" s="172"/>
      <c r="AU7" s="172"/>
      <c r="AV7" s="172"/>
      <c r="AW7" s="172"/>
      <c r="AX7" s="172"/>
      <c r="AY7" s="172"/>
    </row>
    <row r="8" spans="1:63" x14ac:dyDescent="0.25">
      <c r="A8" s="59">
        <v>413326</v>
      </c>
      <c r="B8" s="59" t="s">
        <v>3</v>
      </c>
      <c r="C8" s="8" t="s">
        <v>4</v>
      </c>
      <c r="D8" s="14">
        <v>45227</v>
      </c>
      <c r="E8" s="14">
        <v>45461</v>
      </c>
      <c r="F8" s="6" t="s">
        <v>77</v>
      </c>
      <c r="G8" s="14">
        <v>32775</v>
      </c>
      <c r="H8" s="44">
        <f t="shared" si="0"/>
        <v>34</v>
      </c>
      <c r="I8" s="6">
        <v>1</v>
      </c>
      <c r="J8" s="6">
        <v>27</v>
      </c>
      <c r="K8" s="6" t="s">
        <v>30</v>
      </c>
      <c r="L8" s="6" t="s">
        <v>78</v>
      </c>
      <c r="M8" s="27" t="s">
        <v>4</v>
      </c>
      <c r="N8" s="27"/>
      <c r="O8" s="6"/>
      <c r="P8" s="83">
        <f>35+3/7</f>
        <v>35.428571428571431</v>
      </c>
      <c r="Q8" s="6">
        <v>7</v>
      </c>
      <c r="R8" s="6">
        <v>0</v>
      </c>
      <c r="S8" s="6">
        <v>2</v>
      </c>
      <c r="T8" s="6" t="s">
        <v>80</v>
      </c>
      <c r="U8" s="6" t="s">
        <v>155</v>
      </c>
      <c r="V8" s="5" t="s">
        <v>77</v>
      </c>
      <c r="W8" s="5" t="s">
        <v>559</v>
      </c>
      <c r="X8" s="26" t="s">
        <v>82</v>
      </c>
      <c r="Y8" s="6" t="s">
        <v>189</v>
      </c>
      <c r="Z8" s="8" t="s">
        <v>4</v>
      </c>
      <c r="AA8" s="12">
        <v>45471</v>
      </c>
      <c r="AB8" s="83">
        <f t="shared" si="2"/>
        <v>36.857142857142854</v>
      </c>
      <c r="AC8" s="6"/>
      <c r="AD8" s="6" t="s">
        <v>207</v>
      </c>
      <c r="AE8" s="44">
        <f t="shared" si="1"/>
        <v>10</v>
      </c>
      <c r="AF8" s="44">
        <v>0</v>
      </c>
      <c r="AG8" s="6"/>
      <c r="AH8" s="6" t="s">
        <v>80</v>
      </c>
      <c r="AI8" s="6" t="s">
        <v>559</v>
      </c>
      <c r="AJ8" s="6" t="s">
        <v>82</v>
      </c>
      <c r="AK8" s="6" t="s">
        <v>190</v>
      </c>
      <c r="AL8" s="6" t="s">
        <v>207</v>
      </c>
      <c r="AM8" s="83">
        <v>37</v>
      </c>
      <c r="AN8" s="6" t="s">
        <v>4</v>
      </c>
      <c r="AO8" s="6">
        <v>1</v>
      </c>
      <c r="AR8" s="180" t="s">
        <v>598</v>
      </c>
      <c r="AS8" s="181">
        <v>6</v>
      </c>
      <c r="AT8" s="177"/>
      <c r="AU8" s="177"/>
      <c r="AV8" s="177"/>
      <c r="AW8" s="172"/>
      <c r="AX8" s="172"/>
      <c r="AY8" s="172"/>
    </row>
    <row r="9" spans="1:63" ht="15.75" thickBot="1" x14ac:dyDescent="0.3">
      <c r="A9" s="59">
        <v>519611</v>
      </c>
      <c r="B9" s="59" t="s">
        <v>3</v>
      </c>
      <c r="C9" s="8" t="s">
        <v>5</v>
      </c>
      <c r="D9" s="14">
        <v>45182</v>
      </c>
      <c r="E9" s="14">
        <v>45413</v>
      </c>
      <c r="F9" s="6" t="s">
        <v>77</v>
      </c>
      <c r="G9" s="14">
        <v>32263</v>
      </c>
      <c r="H9" s="44">
        <f t="shared" si="0"/>
        <v>35</v>
      </c>
      <c r="I9" s="6">
        <v>3</v>
      </c>
      <c r="J9" s="6">
        <v>36</v>
      </c>
      <c r="K9" s="6" t="s">
        <v>30</v>
      </c>
      <c r="L9" s="6" t="s">
        <v>78</v>
      </c>
      <c r="M9" s="6"/>
      <c r="N9" s="6" t="s">
        <v>92</v>
      </c>
      <c r="O9" s="6"/>
      <c r="P9" s="83">
        <f>35</f>
        <v>35</v>
      </c>
      <c r="Q9" s="6">
        <v>7</v>
      </c>
      <c r="R9" s="6">
        <v>0</v>
      </c>
      <c r="S9" s="6">
        <v>1</v>
      </c>
      <c r="T9" s="6" t="s">
        <v>80</v>
      </c>
      <c r="U9" s="6" t="s">
        <v>95</v>
      </c>
      <c r="V9" s="5" t="s">
        <v>77</v>
      </c>
      <c r="W9" s="5" t="s">
        <v>559</v>
      </c>
      <c r="X9" s="6" t="s">
        <v>82</v>
      </c>
      <c r="Y9" s="5" t="s">
        <v>373</v>
      </c>
      <c r="Z9" s="8" t="s">
        <v>39</v>
      </c>
      <c r="AA9" s="12">
        <v>45426</v>
      </c>
      <c r="AB9" s="83">
        <f t="shared" si="2"/>
        <v>36.857142857142854</v>
      </c>
      <c r="AC9" s="6"/>
      <c r="AD9" s="6" t="s">
        <v>207</v>
      </c>
      <c r="AE9" s="44">
        <f t="shared" si="1"/>
        <v>13</v>
      </c>
      <c r="AF9" s="44">
        <v>0</v>
      </c>
      <c r="AG9" s="6"/>
      <c r="AH9" s="6" t="s">
        <v>80</v>
      </c>
      <c r="AI9" s="6" t="s">
        <v>559</v>
      </c>
      <c r="AJ9" s="6" t="s">
        <v>82</v>
      </c>
      <c r="AK9" s="6" t="s">
        <v>83</v>
      </c>
      <c r="AL9" s="6" t="s">
        <v>207</v>
      </c>
      <c r="AM9" s="83">
        <v>37</v>
      </c>
      <c r="AN9" s="6" t="s">
        <v>268</v>
      </c>
      <c r="AO9" s="6">
        <v>1</v>
      </c>
      <c r="AR9" s="182" t="s">
        <v>599</v>
      </c>
      <c r="AS9" s="183">
        <v>1</v>
      </c>
      <c r="AT9" s="177"/>
      <c r="AU9" s="177"/>
      <c r="AV9" s="177"/>
      <c r="AW9" s="172"/>
      <c r="AX9" s="172"/>
      <c r="AY9" s="172"/>
    </row>
    <row r="10" spans="1:63" x14ac:dyDescent="0.25">
      <c r="A10" s="59">
        <v>514032</v>
      </c>
      <c r="B10" s="59" t="s">
        <v>3</v>
      </c>
      <c r="C10" s="8" t="s">
        <v>101</v>
      </c>
      <c r="D10" s="14">
        <v>45060</v>
      </c>
      <c r="E10" s="14">
        <v>45300</v>
      </c>
      <c r="F10" s="6" t="s">
        <v>77</v>
      </c>
      <c r="G10" s="14">
        <v>31755</v>
      </c>
      <c r="H10" s="44">
        <f t="shared" si="0"/>
        <v>36</v>
      </c>
      <c r="I10" s="6">
        <v>0</v>
      </c>
      <c r="J10" s="6">
        <v>26</v>
      </c>
      <c r="K10" s="6" t="s">
        <v>30</v>
      </c>
      <c r="L10" s="6" t="s">
        <v>78</v>
      </c>
      <c r="M10" s="6"/>
      <c r="N10" s="6" t="s">
        <v>92</v>
      </c>
      <c r="O10" s="6"/>
      <c r="P10" s="83">
        <f>36+2/7</f>
        <v>36.285714285714285</v>
      </c>
      <c r="Q10" s="6">
        <v>7</v>
      </c>
      <c r="R10" s="6">
        <v>0</v>
      </c>
      <c r="S10" s="6">
        <v>1</v>
      </c>
      <c r="T10" s="5" t="s">
        <v>80</v>
      </c>
      <c r="U10" s="5" t="s">
        <v>95</v>
      </c>
      <c r="V10" s="5" t="s">
        <v>77</v>
      </c>
      <c r="W10" s="13" t="s">
        <v>560</v>
      </c>
      <c r="X10" s="5" t="s">
        <v>82</v>
      </c>
      <c r="Y10" s="6" t="s">
        <v>105</v>
      </c>
      <c r="Z10" s="8" t="s">
        <v>127</v>
      </c>
      <c r="AA10" s="12">
        <v>45304</v>
      </c>
      <c r="AB10" s="83">
        <f t="shared" si="2"/>
        <v>36.857142857142854</v>
      </c>
      <c r="AC10" s="6"/>
      <c r="AD10" s="6" t="s">
        <v>207</v>
      </c>
      <c r="AE10" s="44">
        <f t="shared" si="1"/>
        <v>4</v>
      </c>
      <c r="AF10" s="44">
        <v>0</v>
      </c>
      <c r="AG10" s="6"/>
      <c r="AH10" s="6" t="s">
        <v>80</v>
      </c>
      <c r="AI10" s="27" t="s">
        <v>560</v>
      </c>
      <c r="AJ10" s="6" t="s">
        <v>82</v>
      </c>
      <c r="AK10" s="6" t="s">
        <v>106</v>
      </c>
      <c r="AL10" s="6" t="s">
        <v>207</v>
      </c>
      <c r="AM10" s="83">
        <v>37</v>
      </c>
      <c r="AN10" s="6" t="s">
        <v>4</v>
      </c>
      <c r="AO10" s="6">
        <v>1</v>
      </c>
      <c r="AR10" s="54"/>
    </row>
    <row r="11" spans="1:63" ht="60" x14ac:dyDescent="0.25">
      <c r="A11" s="59">
        <v>479535</v>
      </c>
      <c r="B11" s="59" t="s">
        <v>3</v>
      </c>
      <c r="C11" s="8" t="s">
        <v>4</v>
      </c>
      <c r="D11" s="14">
        <v>45048</v>
      </c>
      <c r="E11" s="14">
        <v>45214</v>
      </c>
      <c r="F11" s="6" t="s">
        <v>77</v>
      </c>
      <c r="G11" s="14">
        <v>34843</v>
      </c>
      <c r="H11" s="44">
        <f t="shared" si="0"/>
        <v>27</v>
      </c>
      <c r="I11" s="6">
        <v>3</v>
      </c>
      <c r="J11" s="6">
        <v>23</v>
      </c>
      <c r="K11" s="6" t="s">
        <v>30</v>
      </c>
      <c r="L11" s="6" t="s">
        <v>78</v>
      </c>
      <c r="M11" s="27" t="s">
        <v>4</v>
      </c>
      <c r="N11" s="27"/>
      <c r="O11" s="27" t="s">
        <v>262</v>
      </c>
      <c r="P11" s="83">
        <f>25+5/7</f>
        <v>25.714285714285715</v>
      </c>
      <c r="Q11" s="6">
        <v>7</v>
      </c>
      <c r="R11" s="6">
        <v>0</v>
      </c>
      <c r="S11" s="6">
        <v>2</v>
      </c>
      <c r="T11" s="6" t="s">
        <v>71</v>
      </c>
      <c r="U11" s="5" t="s">
        <v>165</v>
      </c>
      <c r="V11" s="5" t="s">
        <v>77</v>
      </c>
      <c r="W11" s="5" t="s">
        <v>559</v>
      </c>
      <c r="X11" s="6" t="s">
        <v>82</v>
      </c>
      <c r="Y11" s="6" t="s">
        <v>112</v>
      </c>
      <c r="Z11" s="8" t="s">
        <v>4</v>
      </c>
      <c r="AA11" s="12">
        <v>45292</v>
      </c>
      <c r="AB11" s="83">
        <f t="shared" si="2"/>
        <v>36.857142857142854</v>
      </c>
      <c r="AC11" s="6"/>
      <c r="AD11" s="6" t="s">
        <v>207</v>
      </c>
      <c r="AE11" s="44">
        <f t="shared" si="1"/>
        <v>78</v>
      </c>
      <c r="AF11" s="6">
        <v>0</v>
      </c>
      <c r="AG11" s="6">
        <v>0</v>
      </c>
      <c r="AH11" s="6" t="s">
        <v>71</v>
      </c>
      <c r="AI11" s="6" t="s">
        <v>559</v>
      </c>
      <c r="AJ11" s="6" t="s">
        <v>82</v>
      </c>
      <c r="AK11" s="6" t="s">
        <v>122</v>
      </c>
      <c r="AL11" s="6" t="s">
        <v>207</v>
      </c>
      <c r="AM11" s="83">
        <v>37</v>
      </c>
      <c r="AN11" s="6" t="s">
        <v>4</v>
      </c>
      <c r="AO11" s="6">
        <v>1</v>
      </c>
      <c r="AR11" s="164" t="s">
        <v>837</v>
      </c>
      <c r="AS11" s="54"/>
      <c r="AT11" s="54"/>
      <c r="AU11" s="54"/>
    </row>
    <row r="12" spans="1:63" ht="30.75" thickBot="1" x14ac:dyDescent="0.3">
      <c r="A12" s="59">
        <v>526788</v>
      </c>
      <c r="B12" s="59" t="s">
        <v>3</v>
      </c>
      <c r="C12" s="8" t="s">
        <v>101</v>
      </c>
      <c r="D12" s="14">
        <v>45403</v>
      </c>
      <c r="E12" s="14">
        <v>45564</v>
      </c>
      <c r="F12" s="6" t="s">
        <v>77</v>
      </c>
      <c r="G12" s="14">
        <v>30392</v>
      </c>
      <c r="H12" s="44">
        <f t="shared" si="0"/>
        <v>41</v>
      </c>
      <c r="I12" s="6">
        <v>5</v>
      </c>
      <c r="J12" s="6">
        <v>28</v>
      </c>
      <c r="K12" s="6" t="s">
        <v>30</v>
      </c>
      <c r="L12" s="6" t="s">
        <v>78</v>
      </c>
      <c r="M12" s="27" t="s">
        <v>182</v>
      </c>
      <c r="N12" s="27" t="s">
        <v>154</v>
      </c>
      <c r="O12" s="27"/>
      <c r="P12" s="83">
        <f>25+4/7</f>
        <v>25.571428571428573</v>
      </c>
      <c r="Q12" s="6">
        <v>7</v>
      </c>
      <c r="R12" s="6">
        <v>0</v>
      </c>
      <c r="S12" s="6">
        <v>2</v>
      </c>
      <c r="T12" s="6" t="s">
        <v>80</v>
      </c>
      <c r="U12" s="5" t="s">
        <v>95</v>
      </c>
      <c r="V12" s="5" t="s">
        <v>77</v>
      </c>
      <c r="W12" s="13" t="s">
        <v>558</v>
      </c>
      <c r="X12" s="6" t="s">
        <v>82</v>
      </c>
      <c r="Y12" s="6" t="s">
        <v>121</v>
      </c>
      <c r="Z12" s="8" t="s">
        <v>127</v>
      </c>
      <c r="AA12" s="12">
        <v>45647</v>
      </c>
      <c r="AB12" s="83">
        <f t="shared" si="2"/>
        <v>36.857142857142854</v>
      </c>
      <c r="AC12" s="6"/>
      <c r="AD12" s="6" t="s">
        <v>207</v>
      </c>
      <c r="AE12" s="44">
        <f t="shared" si="1"/>
        <v>83</v>
      </c>
      <c r="AF12" s="44">
        <v>1</v>
      </c>
      <c r="AG12" s="27" t="s">
        <v>118</v>
      </c>
      <c r="AH12" s="6" t="s">
        <v>80</v>
      </c>
      <c r="AI12" s="27" t="s">
        <v>558</v>
      </c>
      <c r="AJ12" s="6" t="s">
        <v>82</v>
      </c>
      <c r="AK12" s="6" t="s">
        <v>122</v>
      </c>
      <c r="AL12" s="6" t="s">
        <v>207</v>
      </c>
      <c r="AM12" s="83">
        <v>37</v>
      </c>
      <c r="AN12" s="6" t="s">
        <v>4</v>
      </c>
      <c r="AO12" s="6">
        <v>1</v>
      </c>
      <c r="AR12" s="54"/>
      <c r="AS12" s="54"/>
      <c r="AT12" s="54"/>
      <c r="AU12" s="54"/>
      <c r="AV12" s="54"/>
    </row>
    <row r="13" spans="1:63" x14ac:dyDescent="0.25">
      <c r="A13" s="59">
        <v>523846</v>
      </c>
      <c r="B13" s="59" t="s">
        <v>3</v>
      </c>
      <c r="C13" s="8" t="s">
        <v>101</v>
      </c>
      <c r="D13" s="14">
        <v>45275</v>
      </c>
      <c r="E13" s="14">
        <v>45493</v>
      </c>
      <c r="F13" s="6" t="s">
        <v>77</v>
      </c>
      <c r="G13" s="14">
        <v>31275</v>
      </c>
      <c r="H13" s="44">
        <f t="shared" si="0"/>
        <v>38</v>
      </c>
      <c r="I13" s="6">
        <v>0</v>
      </c>
      <c r="J13" s="6">
        <v>27</v>
      </c>
      <c r="K13" s="6" t="s">
        <v>30</v>
      </c>
      <c r="L13" s="6" t="s">
        <v>78</v>
      </c>
      <c r="M13" s="6"/>
      <c r="N13" s="6"/>
      <c r="O13" s="6"/>
      <c r="P13" s="83">
        <f>33+1/7</f>
        <v>33.142857142857146</v>
      </c>
      <c r="Q13" s="6">
        <v>7</v>
      </c>
      <c r="R13" s="6">
        <v>0</v>
      </c>
      <c r="S13" s="6">
        <v>2</v>
      </c>
      <c r="T13" s="5" t="s">
        <v>80</v>
      </c>
      <c r="U13" s="5" t="s">
        <v>95</v>
      </c>
      <c r="V13" s="5" t="s">
        <v>78</v>
      </c>
      <c r="W13" s="5" t="s">
        <v>559</v>
      </c>
      <c r="X13" s="5" t="s">
        <v>82</v>
      </c>
      <c r="Y13" s="5" t="s">
        <v>111</v>
      </c>
      <c r="Z13" s="8" t="s">
        <v>127</v>
      </c>
      <c r="AA13" s="12">
        <v>45520</v>
      </c>
      <c r="AB13" s="83">
        <f>37+1/7</f>
        <v>37.142857142857146</v>
      </c>
      <c r="AC13" s="6"/>
      <c r="AD13" s="6" t="s">
        <v>207</v>
      </c>
      <c r="AE13" s="44">
        <f t="shared" si="1"/>
        <v>27</v>
      </c>
      <c r="AF13" s="44">
        <v>0</v>
      </c>
      <c r="AG13" s="6"/>
      <c r="AH13" s="6" t="s">
        <v>80</v>
      </c>
      <c r="AI13" s="6" t="s">
        <v>110</v>
      </c>
      <c r="AJ13" s="6" t="s">
        <v>82</v>
      </c>
      <c r="AK13" s="6" t="s">
        <v>112</v>
      </c>
      <c r="AL13" s="6" t="s">
        <v>207</v>
      </c>
      <c r="AM13" s="83">
        <f>37+2/7</f>
        <v>37.285714285714285</v>
      </c>
      <c r="AN13" s="6" t="s">
        <v>4</v>
      </c>
      <c r="AO13" s="6">
        <v>1</v>
      </c>
      <c r="AR13" s="174" t="s">
        <v>600</v>
      </c>
      <c r="AS13" s="176"/>
      <c r="AU13" s="174" t="s">
        <v>630</v>
      </c>
      <c r="AV13" s="176"/>
    </row>
    <row r="14" spans="1:63" ht="30" x14ac:dyDescent="0.25">
      <c r="A14" s="59">
        <v>257038</v>
      </c>
      <c r="B14" s="59" t="s">
        <v>3</v>
      </c>
      <c r="C14" s="8" t="s">
        <v>5</v>
      </c>
      <c r="D14" s="14">
        <v>45392</v>
      </c>
      <c r="E14" s="14">
        <v>45558</v>
      </c>
      <c r="F14" s="6" t="s">
        <v>77</v>
      </c>
      <c r="G14" s="14">
        <v>30963</v>
      </c>
      <c r="H14" s="44">
        <f t="shared" si="0"/>
        <v>39</v>
      </c>
      <c r="I14" s="6">
        <v>2</v>
      </c>
      <c r="J14" s="6">
        <v>24</v>
      </c>
      <c r="K14" s="6" t="s">
        <v>135</v>
      </c>
      <c r="L14" s="6" t="s">
        <v>78</v>
      </c>
      <c r="M14" s="6" t="s">
        <v>6</v>
      </c>
      <c r="N14" s="6" t="s">
        <v>181</v>
      </c>
      <c r="O14" s="6"/>
      <c r="P14" s="83">
        <f>25+5/7</f>
        <v>25.714285714285715</v>
      </c>
      <c r="Q14" s="6">
        <v>7</v>
      </c>
      <c r="R14" s="6">
        <v>0</v>
      </c>
      <c r="S14" s="6">
        <v>2</v>
      </c>
      <c r="T14" s="6" t="s">
        <v>80</v>
      </c>
      <c r="U14" s="6" t="s">
        <v>95</v>
      </c>
      <c r="V14" s="9" t="s">
        <v>77</v>
      </c>
      <c r="W14" s="5" t="s">
        <v>559</v>
      </c>
      <c r="X14" s="9" t="s">
        <v>82</v>
      </c>
      <c r="Y14" s="6" t="s">
        <v>191</v>
      </c>
      <c r="Z14" s="184" t="s">
        <v>179</v>
      </c>
      <c r="AA14" s="12">
        <v>45643</v>
      </c>
      <c r="AB14" s="83">
        <f>37+6/7</f>
        <v>37.857142857142854</v>
      </c>
      <c r="AC14" s="6"/>
      <c r="AD14" s="6" t="s">
        <v>207</v>
      </c>
      <c r="AE14" s="44">
        <f t="shared" si="1"/>
        <v>85</v>
      </c>
      <c r="AF14" s="44">
        <v>2</v>
      </c>
      <c r="AG14" s="27" t="s">
        <v>196</v>
      </c>
      <c r="AH14" s="6" t="s">
        <v>80</v>
      </c>
      <c r="AI14" s="6" t="s">
        <v>559</v>
      </c>
      <c r="AJ14" s="6" t="s">
        <v>197</v>
      </c>
      <c r="AK14" s="6" t="s">
        <v>83</v>
      </c>
      <c r="AL14" s="6" t="s">
        <v>207</v>
      </c>
      <c r="AM14" s="83">
        <f>38</f>
        <v>38</v>
      </c>
      <c r="AN14" s="6" t="s">
        <v>4</v>
      </c>
      <c r="AO14" s="6">
        <v>1</v>
      </c>
      <c r="AR14" s="180" t="s">
        <v>602</v>
      </c>
      <c r="AS14" s="181">
        <v>4</v>
      </c>
      <c r="AU14" s="180" t="s">
        <v>84</v>
      </c>
      <c r="AV14" s="181">
        <v>1</v>
      </c>
    </row>
    <row r="15" spans="1:63" ht="15.75" thickBot="1" x14ac:dyDescent="0.3">
      <c r="A15" s="59">
        <v>521930</v>
      </c>
      <c r="B15" s="59" t="s">
        <v>3</v>
      </c>
      <c r="C15" s="8" t="s">
        <v>4</v>
      </c>
      <c r="D15" s="14">
        <v>45225</v>
      </c>
      <c r="E15" s="14">
        <v>45457</v>
      </c>
      <c r="F15" s="6" t="s">
        <v>77</v>
      </c>
      <c r="G15" s="14">
        <v>32401</v>
      </c>
      <c r="H15" s="44">
        <f t="shared" si="0"/>
        <v>35</v>
      </c>
      <c r="I15" s="6">
        <v>0</v>
      </c>
      <c r="J15" s="6">
        <v>35</v>
      </c>
      <c r="K15" s="6" t="s">
        <v>30</v>
      </c>
      <c r="L15" s="6" t="s">
        <v>78</v>
      </c>
      <c r="M15" s="6"/>
      <c r="N15" s="6"/>
      <c r="O15" s="6"/>
      <c r="P15" s="83">
        <f>35+1/7</f>
        <v>35.142857142857146</v>
      </c>
      <c r="Q15" s="6">
        <v>7</v>
      </c>
      <c r="R15" s="6">
        <v>0</v>
      </c>
      <c r="S15" s="6">
        <v>1</v>
      </c>
      <c r="T15" s="6" t="s">
        <v>80</v>
      </c>
      <c r="U15" s="6" t="s">
        <v>155</v>
      </c>
      <c r="V15" s="5" t="s">
        <v>77</v>
      </c>
      <c r="W15" s="13" t="s">
        <v>558</v>
      </c>
      <c r="X15" s="26" t="s">
        <v>82</v>
      </c>
      <c r="Y15" s="6" t="s">
        <v>191</v>
      </c>
      <c r="Z15" s="8" t="s">
        <v>4</v>
      </c>
      <c r="AA15" s="12">
        <v>45461</v>
      </c>
      <c r="AB15" s="83">
        <f>35+5/7</f>
        <v>35.714285714285715</v>
      </c>
      <c r="AC15" s="6"/>
      <c r="AD15" s="27" t="s">
        <v>567</v>
      </c>
      <c r="AE15" s="44">
        <f t="shared" si="1"/>
        <v>4</v>
      </c>
      <c r="AF15" s="44">
        <v>1</v>
      </c>
      <c r="AG15" s="6"/>
      <c r="AH15" s="6" t="s">
        <v>80</v>
      </c>
      <c r="AI15" s="27" t="s">
        <v>558</v>
      </c>
      <c r="AJ15" s="6" t="s">
        <v>82</v>
      </c>
      <c r="AK15" s="6" t="s">
        <v>175</v>
      </c>
      <c r="AL15" s="6" t="s">
        <v>343</v>
      </c>
      <c r="AM15" s="83">
        <v>37</v>
      </c>
      <c r="AN15" s="6" t="s">
        <v>4</v>
      </c>
      <c r="AO15" s="6">
        <v>9</v>
      </c>
      <c r="AR15" s="180" t="s">
        <v>603</v>
      </c>
      <c r="AS15" s="181">
        <v>2</v>
      </c>
      <c r="AU15" s="182" t="s">
        <v>4</v>
      </c>
      <c r="AV15" s="183">
        <v>1</v>
      </c>
    </row>
    <row r="16" spans="1:63" ht="30" x14ac:dyDescent="0.25">
      <c r="A16" s="59">
        <v>521859</v>
      </c>
      <c r="B16" s="59" t="s">
        <v>3</v>
      </c>
      <c r="C16" s="8" t="s">
        <v>4</v>
      </c>
      <c r="D16" s="14">
        <v>45238</v>
      </c>
      <c r="E16" s="14">
        <v>45462</v>
      </c>
      <c r="F16" s="6" t="s">
        <v>77</v>
      </c>
      <c r="G16" s="14">
        <v>34321</v>
      </c>
      <c r="H16" s="44">
        <f t="shared" si="0"/>
        <v>29</v>
      </c>
      <c r="I16" s="6">
        <v>0</v>
      </c>
      <c r="J16" s="6">
        <v>32</v>
      </c>
      <c r="K16" s="6" t="s">
        <v>30</v>
      </c>
      <c r="L16" s="6" t="s">
        <v>78</v>
      </c>
      <c r="M16" s="6"/>
      <c r="N16" s="6" t="s">
        <v>154</v>
      </c>
      <c r="O16" s="6"/>
      <c r="P16" s="83">
        <v>34</v>
      </c>
      <c r="Q16" s="6">
        <v>7</v>
      </c>
      <c r="R16" s="6">
        <v>0</v>
      </c>
      <c r="S16" s="6">
        <v>2</v>
      </c>
      <c r="T16" s="6" t="s">
        <v>80</v>
      </c>
      <c r="U16" s="6" t="s">
        <v>165</v>
      </c>
      <c r="V16" s="5" t="s">
        <v>77</v>
      </c>
      <c r="W16" s="13" t="s">
        <v>558</v>
      </c>
      <c r="X16" s="6" t="s">
        <v>82</v>
      </c>
      <c r="Y16" s="6" t="s">
        <v>188</v>
      </c>
      <c r="Z16" s="8" t="s">
        <v>4</v>
      </c>
      <c r="AA16" s="12">
        <v>45475</v>
      </c>
      <c r="AB16" s="83">
        <f>35+6/7</f>
        <v>35.857142857142854</v>
      </c>
      <c r="AC16" s="6"/>
      <c r="AD16" s="27" t="s">
        <v>567</v>
      </c>
      <c r="AE16" s="44">
        <f t="shared" si="1"/>
        <v>13</v>
      </c>
      <c r="AF16" s="44">
        <v>1</v>
      </c>
      <c r="AG16" s="6"/>
      <c r="AH16" s="6" t="s">
        <v>80</v>
      </c>
      <c r="AI16" s="27" t="s">
        <v>558</v>
      </c>
      <c r="AJ16" s="6" t="s">
        <v>158</v>
      </c>
      <c r="AK16" s="6" t="s">
        <v>159</v>
      </c>
      <c r="AL16" s="6" t="s">
        <v>343</v>
      </c>
      <c r="AM16" s="83">
        <f>36+2/7</f>
        <v>36.285714285714285</v>
      </c>
      <c r="AN16" s="27" t="s">
        <v>500</v>
      </c>
      <c r="AO16" s="6">
        <v>3</v>
      </c>
      <c r="AR16" s="180" t="s">
        <v>601</v>
      </c>
      <c r="AS16" s="181">
        <v>2</v>
      </c>
    </row>
    <row r="17" spans="1:61" ht="75" x14ac:dyDescent="0.25">
      <c r="A17" s="57">
        <v>517666</v>
      </c>
      <c r="B17" s="6" t="s">
        <v>7</v>
      </c>
      <c r="C17" s="8" t="s">
        <v>5</v>
      </c>
      <c r="D17" s="14">
        <v>45161</v>
      </c>
      <c r="E17" s="14">
        <v>45376</v>
      </c>
      <c r="F17" s="6" t="s">
        <v>77</v>
      </c>
      <c r="G17" s="14">
        <v>30331</v>
      </c>
      <c r="H17" s="44">
        <f t="shared" si="0"/>
        <v>40</v>
      </c>
      <c r="I17" s="6">
        <v>4</v>
      </c>
      <c r="J17" s="6">
        <v>39</v>
      </c>
      <c r="K17" s="6" t="s">
        <v>30</v>
      </c>
      <c r="L17" s="6" t="s">
        <v>78</v>
      </c>
      <c r="M17" s="6"/>
      <c r="N17" s="6"/>
      <c r="O17" s="6"/>
      <c r="P17" s="83">
        <f>32+5/7</f>
        <v>32.714285714285715</v>
      </c>
      <c r="Q17" s="6">
        <v>7</v>
      </c>
      <c r="R17" s="6">
        <v>1</v>
      </c>
      <c r="S17" s="6">
        <v>1</v>
      </c>
      <c r="T17" s="5" t="s">
        <v>80</v>
      </c>
      <c r="U17" s="6" t="s">
        <v>95</v>
      </c>
      <c r="V17" s="5" t="s">
        <v>78</v>
      </c>
      <c r="W17" s="5" t="s">
        <v>559</v>
      </c>
      <c r="X17" s="6" t="s">
        <v>82</v>
      </c>
      <c r="Y17" s="5" t="s">
        <v>373</v>
      </c>
      <c r="Z17" s="8" t="s">
        <v>5</v>
      </c>
      <c r="AA17" s="12">
        <v>45399</v>
      </c>
      <c r="AB17" s="83">
        <v>36</v>
      </c>
      <c r="AC17" s="6"/>
      <c r="AD17" s="27" t="s">
        <v>563</v>
      </c>
      <c r="AE17" s="44">
        <f t="shared" si="1"/>
        <v>23</v>
      </c>
      <c r="AF17" s="44">
        <v>2</v>
      </c>
      <c r="AG17" s="27" t="s">
        <v>274</v>
      </c>
      <c r="AH17" s="6" t="s">
        <v>84</v>
      </c>
      <c r="AI17" s="27" t="s">
        <v>558</v>
      </c>
      <c r="AJ17" s="6" t="s">
        <v>82</v>
      </c>
      <c r="AK17" s="6" t="s">
        <v>275</v>
      </c>
      <c r="AL17" s="6" t="s">
        <v>260</v>
      </c>
      <c r="AM17" s="83">
        <v>36</v>
      </c>
      <c r="AN17" s="6" t="s">
        <v>260</v>
      </c>
      <c r="AO17" s="6">
        <v>0</v>
      </c>
      <c r="AR17" s="180"/>
      <c r="AS17" s="181"/>
      <c r="AV17" s="54"/>
    </row>
    <row r="18" spans="1:61" x14ac:dyDescent="0.25">
      <c r="A18" s="59">
        <v>528617</v>
      </c>
      <c r="B18" s="59" t="s">
        <v>3</v>
      </c>
      <c r="C18" s="8" t="s">
        <v>4</v>
      </c>
      <c r="D18" s="14">
        <v>45426</v>
      </c>
      <c r="E18" s="14">
        <v>45604</v>
      </c>
      <c r="F18" s="6" t="s">
        <v>77</v>
      </c>
      <c r="G18" s="14">
        <v>34639</v>
      </c>
      <c r="H18" s="44">
        <f t="shared" si="0"/>
        <v>29</v>
      </c>
      <c r="I18" s="6">
        <v>1</v>
      </c>
      <c r="J18" s="6">
        <v>30</v>
      </c>
      <c r="K18" s="6" t="s">
        <v>30</v>
      </c>
      <c r="L18" s="6" t="s">
        <v>78</v>
      </c>
      <c r="M18" s="27" t="s">
        <v>539</v>
      </c>
      <c r="N18" s="27"/>
      <c r="O18" s="6"/>
      <c r="P18" s="83">
        <f>27+3/7</f>
        <v>27.428571428571427</v>
      </c>
      <c r="Q18" s="6">
        <v>7</v>
      </c>
      <c r="R18" s="6">
        <v>0</v>
      </c>
      <c r="S18" s="6">
        <v>2</v>
      </c>
      <c r="T18" s="6" t="s">
        <v>80</v>
      </c>
      <c r="U18" s="6" t="s">
        <v>95</v>
      </c>
      <c r="V18" s="5" t="s">
        <v>77</v>
      </c>
      <c r="W18" s="5" t="s">
        <v>559</v>
      </c>
      <c r="X18" s="6" t="s">
        <v>82</v>
      </c>
      <c r="Y18" s="6" t="s">
        <v>562</v>
      </c>
      <c r="Z18" s="8" t="s">
        <v>127</v>
      </c>
      <c r="AA18" s="12">
        <v>45604</v>
      </c>
      <c r="AB18" s="83">
        <f>27+3/7</f>
        <v>27.428571428571427</v>
      </c>
      <c r="AC18" s="6"/>
      <c r="AD18" s="27" t="s">
        <v>576</v>
      </c>
      <c r="AE18" s="44">
        <f t="shared" si="1"/>
        <v>0</v>
      </c>
      <c r="AF18" s="44">
        <v>1</v>
      </c>
      <c r="AG18" s="6"/>
      <c r="AH18" s="6" t="s">
        <v>80</v>
      </c>
      <c r="AI18" s="6" t="s">
        <v>559</v>
      </c>
      <c r="AJ18" s="6" t="s">
        <v>82</v>
      </c>
      <c r="AK18" s="6" t="s">
        <v>562</v>
      </c>
      <c r="AL18" s="6" t="s">
        <v>343</v>
      </c>
      <c r="AM18" s="83">
        <f>28+5/7</f>
        <v>28.714285714285715</v>
      </c>
      <c r="AN18" s="6" t="s">
        <v>498</v>
      </c>
      <c r="AO18" s="6">
        <v>2</v>
      </c>
      <c r="AR18" s="180" t="s">
        <v>84</v>
      </c>
      <c r="AS18" s="181">
        <v>4</v>
      </c>
    </row>
    <row r="19" spans="1:61" ht="30.75" thickBot="1" x14ac:dyDescent="0.3">
      <c r="A19" s="59">
        <v>522270</v>
      </c>
      <c r="B19" s="59" t="s">
        <v>3</v>
      </c>
      <c r="C19" s="8" t="s">
        <v>4</v>
      </c>
      <c r="D19" s="14">
        <v>45392</v>
      </c>
      <c r="E19" s="14">
        <v>45470</v>
      </c>
      <c r="F19" s="6" t="s">
        <v>77</v>
      </c>
      <c r="G19" s="14">
        <v>30963</v>
      </c>
      <c r="H19" s="44">
        <f t="shared" si="0"/>
        <v>39</v>
      </c>
      <c r="I19" s="6">
        <v>2</v>
      </c>
      <c r="J19" s="6">
        <v>24</v>
      </c>
      <c r="K19" s="6" t="s">
        <v>166</v>
      </c>
      <c r="L19" s="6" t="s">
        <v>167</v>
      </c>
      <c r="M19" s="6"/>
      <c r="N19" s="6" t="s">
        <v>92</v>
      </c>
      <c r="O19" s="27" t="s">
        <v>556</v>
      </c>
      <c r="P19" s="83">
        <f>34+5/7</f>
        <v>34.714285714285715</v>
      </c>
      <c r="Q19" s="6">
        <v>7</v>
      </c>
      <c r="R19" s="6">
        <v>0</v>
      </c>
      <c r="S19" s="6">
        <v>2</v>
      </c>
      <c r="T19" s="27" t="s">
        <v>84</v>
      </c>
      <c r="U19" s="6" t="s">
        <v>165</v>
      </c>
      <c r="V19" s="5" t="s">
        <v>77</v>
      </c>
      <c r="W19" s="13" t="s">
        <v>558</v>
      </c>
      <c r="X19" s="6" t="s">
        <v>82</v>
      </c>
      <c r="Y19" s="6" t="s">
        <v>192</v>
      </c>
      <c r="Z19" s="8" t="s">
        <v>4</v>
      </c>
      <c r="AA19" s="12">
        <v>45475</v>
      </c>
      <c r="AB19" s="83">
        <f>35+2/7</f>
        <v>35.285714285714285</v>
      </c>
      <c r="AC19" s="6"/>
      <c r="AD19" s="6" t="s">
        <v>566</v>
      </c>
      <c r="AE19" s="44">
        <f t="shared" si="1"/>
        <v>5</v>
      </c>
      <c r="AF19" s="44">
        <v>1</v>
      </c>
      <c r="AG19" s="27" t="s">
        <v>172</v>
      </c>
      <c r="AH19" s="27" t="s">
        <v>84</v>
      </c>
      <c r="AI19" s="27" t="s">
        <v>558</v>
      </c>
      <c r="AJ19" s="6" t="s">
        <v>82</v>
      </c>
      <c r="AK19" s="6" t="s">
        <v>175</v>
      </c>
      <c r="AL19" s="6" t="s">
        <v>84</v>
      </c>
      <c r="AM19" s="83" t="s">
        <v>208</v>
      </c>
      <c r="AN19" s="6" t="s">
        <v>501</v>
      </c>
      <c r="AO19" s="6" t="s">
        <v>208</v>
      </c>
      <c r="AR19" s="182" t="s">
        <v>842</v>
      </c>
      <c r="AS19" s="183">
        <v>1</v>
      </c>
    </row>
    <row r="20" spans="1:61" x14ac:dyDescent="0.25">
      <c r="H20" s="194"/>
      <c r="AM20" s="198"/>
      <c r="AU20" s="108"/>
      <c r="AV20" s="54"/>
    </row>
    <row r="21" spans="1:61" ht="15.75" thickBot="1" x14ac:dyDescent="0.3">
      <c r="AB21" s="198"/>
      <c r="AE21" s="198"/>
      <c r="AR21" s="172" t="s">
        <v>631</v>
      </c>
      <c r="AS21" s="172"/>
      <c r="AT21" s="172"/>
      <c r="AU21" s="181"/>
    </row>
    <row r="22" spans="1:61" ht="15.75" thickBot="1" x14ac:dyDescent="0.3">
      <c r="AB22" s="198"/>
      <c r="AR22" s="174" t="s">
        <v>627</v>
      </c>
      <c r="AS22" s="175" t="s">
        <v>753</v>
      </c>
      <c r="AT22" s="175"/>
      <c r="AU22" s="183"/>
    </row>
    <row r="23" spans="1:61" x14ac:dyDescent="0.25">
      <c r="AR23" s="185" t="s">
        <v>843</v>
      </c>
      <c r="AS23" s="177" t="s">
        <v>844</v>
      </c>
      <c r="AT23" s="177"/>
      <c r="AU23" s="172"/>
    </row>
    <row r="24" spans="1:61" ht="15.75" thickBot="1" x14ac:dyDescent="0.3">
      <c r="AR24" s="186"/>
      <c r="AS24" s="187"/>
      <c r="AT24" s="187"/>
      <c r="AU24" s="177"/>
      <c r="AV24" s="54"/>
    </row>
    <row r="25" spans="1:61" x14ac:dyDescent="0.25">
      <c r="AR25" s="173"/>
      <c r="AS25" s="172"/>
      <c r="AT25" s="172"/>
      <c r="AU25" s="177"/>
      <c r="AV25" s="54"/>
    </row>
    <row r="26" spans="1:61" ht="15.75" thickBot="1" x14ac:dyDescent="0.3">
      <c r="AR26" s="54"/>
      <c r="AS26" s="54"/>
      <c r="AU26" s="54"/>
      <c r="AV26" s="54"/>
    </row>
    <row r="27" spans="1:61" x14ac:dyDescent="0.25">
      <c r="AR27" s="174"/>
      <c r="AS27" s="175" t="s">
        <v>25</v>
      </c>
      <c r="AT27" s="176" t="s">
        <v>607</v>
      </c>
      <c r="AU27" s="54"/>
      <c r="AV27" s="54"/>
    </row>
    <row r="28" spans="1:61" x14ac:dyDescent="0.25">
      <c r="AR28" s="180" t="s">
        <v>84</v>
      </c>
      <c r="AS28" s="177">
        <v>4</v>
      </c>
      <c r="AT28" s="181">
        <v>6</v>
      </c>
      <c r="AU28" s="54"/>
      <c r="AV28" s="54"/>
    </row>
    <row r="29" spans="1:61" ht="15.75" thickBot="1" x14ac:dyDescent="0.3">
      <c r="AR29" s="182" t="s">
        <v>71</v>
      </c>
      <c r="AS29" s="187">
        <v>1</v>
      </c>
      <c r="AT29" s="183">
        <v>1</v>
      </c>
      <c r="AU29" s="54"/>
      <c r="AV29" s="54"/>
    </row>
    <row r="30" spans="1:61" ht="15.75" thickBot="1" x14ac:dyDescent="0.3">
      <c r="AR30" s="54"/>
      <c r="AS30" s="54"/>
    </row>
    <row r="31" spans="1:61" x14ac:dyDescent="0.25">
      <c r="AR31" s="174" t="s">
        <v>608</v>
      </c>
      <c r="AS31" s="175" t="s">
        <v>845</v>
      </c>
      <c r="AT31" s="176" t="s">
        <v>846</v>
      </c>
      <c r="BC31" s="174" t="s">
        <v>207</v>
      </c>
      <c r="BD31" s="176"/>
      <c r="BF31" s="174" t="s">
        <v>652</v>
      </c>
      <c r="BG31" s="175"/>
      <c r="BH31" s="175"/>
      <c r="BI31" s="176"/>
    </row>
    <row r="32" spans="1:61" ht="15.75" thickBot="1" x14ac:dyDescent="0.3">
      <c r="AR32" s="182" t="s">
        <v>611</v>
      </c>
      <c r="AS32" s="187" t="s">
        <v>847</v>
      </c>
      <c r="AT32" s="183" t="s">
        <v>848</v>
      </c>
      <c r="AU32" s="54"/>
      <c r="BC32" s="180" t="s">
        <v>632</v>
      </c>
      <c r="BD32" s="181">
        <v>37.159999999999997</v>
      </c>
      <c r="BF32" s="180" t="s">
        <v>22</v>
      </c>
      <c r="BG32" s="177" t="s">
        <v>856</v>
      </c>
      <c r="BH32" s="177" t="s">
        <v>857</v>
      </c>
      <c r="BI32" s="181"/>
    </row>
    <row r="33" spans="44:61" ht="45.75" thickBot="1" x14ac:dyDescent="0.3">
      <c r="AR33" s="169" t="s">
        <v>614</v>
      </c>
      <c r="AS33" s="170">
        <v>23.06</v>
      </c>
      <c r="AT33" s="171" t="s">
        <v>849</v>
      </c>
      <c r="AU33" s="116"/>
      <c r="AV33" s="116"/>
      <c r="BC33" s="180" t="s">
        <v>633</v>
      </c>
      <c r="BD33" s="181" t="s">
        <v>855</v>
      </c>
      <c r="BF33" s="189" t="s">
        <v>780</v>
      </c>
      <c r="BG33" s="187">
        <v>32.57</v>
      </c>
      <c r="BH33" s="187" t="s">
        <v>858</v>
      </c>
      <c r="BI33" s="183"/>
    </row>
    <row r="34" spans="44:61" ht="15.75" thickBot="1" x14ac:dyDescent="0.3">
      <c r="AR34" s="54"/>
      <c r="AS34" s="54"/>
      <c r="AT34" s="54"/>
      <c r="AU34" s="54"/>
      <c r="AV34" s="54"/>
      <c r="BC34" s="180"/>
      <c r="BD34" s="181"/>
    </row>
    <row r="35" spans="44:61" x14ac:dyDescent="0.25">
      <c r="AR35" s="174" t="s">
        <v>21</v>
      </c>
      <c r="AS35" s="175"/>
      <c r="AT35" s="175"/>
      <c r="AU35" s="177"/>
      <c r="AV35" s="177"/>
      <c r="AW35" s="172"/>
      <c r="AX35" s="172"/>
      <c r="BC35" s="180"/>
      <c r="BD35" s="181"/>
    </row>
    <row r="36" spans="44:61" x14ac:dyDescent="0.25">
      <c r="AR36" s="180" t="s">
        <v>207</v>
      </c>
      <c r="AS36" s="177">
        <v>9</v>
      </c>
      <c r="AT36" s="177"/>
      <c r="AU36" s="177"/>
      <c r="AV36" s="177"/>
      <c r="AW36" s="172"/>
      <c r="AX36" s="172"/>
      <c r="BC36" s="180"/>
      <c r="BD36" s="181"/>
    </row>
    <row r="37" spans="44:61" x14ac:dyDescent="0.25">
      <c r="AR37" s="180" t="s">
        <v>134</v>
      </c>
      <c r="AS37" s="177">
        <v>2</v>
      </c>
      <c r="AT37" s="177" t="s">
        <v>850</v>
      </c>
      <c r="AU37" s="177"/>
      <c r="AV37" s="177"/>
      <c r="AW37" s="172"/>
      <c r="AX37" s="172"/>
      <c r="BC37" s="180"/>
      <c r="BD37" s="181"/>
    </row>
    <row r="38" spans="44:61" ht="15.75" thickBot="1" x14ac:dyDescent="0.3">
      <c r="AR38" s="189" t="s">
        <v>616</v>
      </c>
      <c r="AS38" s="187">
        <v>7</v>
      </c>
      <c r="AT38" s="187" t="s">
        <v>851</v>
      </c>
      <c r="AU38" s="177"/>
      <c r="AV38" s="177"/>
      <c r="AW38" s="172"/>
      <c r="AX38" s="172"/>
      <c r="BC38" s="180"/>
      <c r="BD38" s="181"/>
    </row>
    <row r="39" spans="44:61" ht="15.75" thickBot="1" x14ac:dyDescent="0.3">
      <c r="AR39" s="126"/>
      <c r="AU39" s="54"/>
      <c r="AV39" s="54"/>
    </row>
    <row r="40" spans="44:61" x14ac:dyDescent="0.25">
      <c r="AR40" s="174" t="s">
        <v>618</v>
      </c>
      <c r="AS40" s="175"/>
      <c r="AT40" s="175"/>
      <c r="AU40" s="54"/>
      <c r="AV40" s="54"/>
    </row>
    <row r="41" spans="44:61" ht="15.75" thickBot="1" x14ac:dyDescent="0.3">
      <c r="AR41" s="180" t="s">
        <v>110</v>
      </c>
      <c r="AS41" s="177">
        <v>7</v>
      </c>
      <c r="AT41" s="177"/>
      <c r="AU41" s="54"/>
      <c r="AV41" s="54"/>
    </row>
    <row r="42" spans="44:61" x14ac:dyDescent="0.25">
      <c r="AR42" s="180" t="s">
        <v>619</v>
      </c>
      <c r="AS42" s="177"/>
      <c r="AT42" s="177"/>
      <c r="AU42" s="54"/>
      <c r="AV42" s="54"/>
      <c r="AX42" s="174" t="s">
        <v>658</v>
      </c>
      <c r="AY42" s="175"/>
      <c r="AZ42" s="176"/>
    </row>
    <row r="43" spans="44:61" x14ac:dyDescent="0.25">
      <c r="AR43" s="180" t="s">
        <v>620</v>
      </c>
      <c r="AS43" s="177"/>
      <c r="AT43" s="177"/>
      <c r="AU43" s="54"/>
      <c r="AV43" s="54"/>
      <c r="AX43" s="180" t="s">
        <v>480</v>
      </c>
      <c r="AY43" s="177">
        <v>2</v>
      </c>
      <c r="AZ43" s="181"/>
    </row>
    <row r="44" spans="44:61" ht="15.75" thickBot="1" x14ac:dyDescent="0.3">
      <c r="AR44" s="182" t="s">
        <v>621</v>
      </c>
      <c r="AS44" s="187">
        <v>4</v>
      </c>
      <c r="AT44" s="187" t="s">
        <v>852</v>
      </c>
      <c r="AU44" s="54"/>
      <c r="AV44" s="54"/>
      <c r="AX44" s="180" t="s">
        <v>343</v>
      </c>
      <c r="AY44" s="177">
        <v>1</v>
      </c>
      <c r="AZ44" s="181"/>
    </row>
    <row r="45" spans="44:61" ht="15.75" thickBot="1" x14ac:dyDescent="0.3">
      <c r="AR45" s="54"/>
      <c r="AS45" s="54"/>
      <c r="AU45" s="54"/>
      <c r="AV45" s="54"/>
      <c r="AX45" s="180" t="s">
        <v>260</v>
      </c>
      <c r="AY45" s="177">
        <v>1</v>
      </c>
      <c r="AZ45" s="181"/>
    </row>
    <row r="46" spans="44:61" x14ac:dyDescent="0.25">
      <c r="AR46" s="174" t="s">
        <v>659</v>
      </c>
      <c r="AS46" s="175"/>
      <c r="AT46" s="175"/>
      <c r="AU46" s="177"/>
      <c r="AV46" s="177"/>
      <c r="AX46" s="180"/>
      <c r="AY46" s="177"/>
      <c r="AZ46" s="181"/>
    </row>
    <row r="47" spans="44:61" ht="165" x14ac:dyDescent="0.25">
      <c r="AR47" s="192" t="s">
        <v>853</v>
      </c>
      <c r="AS47" s="177"/>
      <c r="AT47" s="177"/>
      <c r="AU47" s="177"/>
      <c r="AV47" s="177"/>
      <c r="AX47" s="180"/>
      <c r="AY47" s="177"/>
      <c r="AZ47" s="181"/>
    </row>
    <row r="48" spans="44:61" x14ac:dyDescent="0.25">
      <c r="AR48" s="180" t="s">
        <v>854</v>
      </c>
      <c r="AS48" s="177"/>
      <c r="AT48" s="177"/>
      <c r="AU48" s="177"/>
      <c r="AV48" s="177"/>
      <c r="AX48" s="180"/>
      <c r="AY48" s="177"/>
      <c r="AZ48" s="181"/>
    </row>
    <row r="49" spans="44:52" ht="15.75" thickBot="1" x14ac:dyDescent="0.3">
      <c r="AR49" s="132"/>
      <c r="AS49" s="119"/>
      <c r="AT49" s="119"/>
      <c r="AU49" s="54"/>
      <c r="AV49" s="54"/>
      <c r="AX49" s="180"/>
      <c r="AY49" s="177"/>
      <c r="AZ49" s="181"/>
    </row>
    <row r="50" spans="44:52" ht="15.75" thickBot="1" x14ac:dyDescent="0.3">
      <c r="AU50" s="54"/>
      <c r="AV50" s="54"/>
      <c r="AX50" s="182"/>
      <c r="AY50" s="187"/>
      <c r="AZ50" s="183"/>
    </row>
    <row r="51" spans="44:52" x14ac:dyDescent="0.25">
      <c r="AU51" s="54"/>
      <c r="AV51" s="54"/>
      <c r="AX51" s="180"/>
      <c r="AY51" s="172"/>
      <c r="AZ51" s="172"/>
    </row>
    <row r="52" spans="44:52" x14ac:dyDescent="0.25">
      <c r="AU52" s="54"/>
      <c r="AV52" s="54"/>
      <c r="AX52" s="180"/>
      <c r="AY52" s="172"/>
      <c r="AZ52" s="172"/>
    </row>
    <row r="53" spans="44:52" x14ac:dyDescent="0.25">
      <c r="AU53" s="54"/>
      <c r="AV53" s="54"/>
      <c r="AX53" s="180"/>
      <c r="AY53" s="172"/>
      <c r="AZ53" s="172"/>
    </row>
    <row r="54" spans="44:52" x14ac:dyDescent="0.25">
      <c r="AX54" s="180"/>
      <c r="AY54" s="172"/>
      <c r="AZ54" s="172"/>
    </row>
  </sheetData>
  <autoFilter ref="A1:AO19" xr:uid="{76F17C62-DDAD-4630-AB3C-9803B189B811}">
    <sortState ref="A2:AO19">
      <sortCondition ref="AC1:AC19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7E9F-F110-4600-88BA-D3388A4C3BE9}">
  <dimension ref="A1:AX27"/>
  <sheetViews>
    <sheetView tabSelected="1" topLeftCell="P1" workbookViewId="0">
      <selection activeCell="AW24" sqref="AW24"/>
    </sheetView>
  </sheetViews>
  <sheetFormatPr baseColWidth="10" defaultRowHeight="15" x14ac:dyDescent="0.25"/>
  <sheetData>
    <row r="1" spans="1:46" ht="90" x14ac:dyDescent="0.25">
      <c r="A1" s="28" t="s">
        <v>0</v>
      </c>
      <c r="B1" s="18" t="s">
        <v>1</v>
      </c>
      <c r="C1" s="18" t="s">
        <v>36</v>
      </c>
      <c r="D1" s="18" t="s">
        <v>40</v>
      </c>
      <c r="E1" s="18" t="s">
        <v>2</v>
      </c>
      <c r="F1" s="18" t="s">
        <v>37</v>
      </c>
      <c r="G1" s="19" t="s">
        <v>29</v>
      </c>
      <c r="H1" s="19" t="s">
        <v>126</v>
      </c>
      <c r="I1" s="19" t="s">
        <v>11</v>
      </c>
      <c r="J1" s="19" t="s">
        <v>12</v>
      </c>
      <c r="K1" s="19" t="s">
        <v>13</v>
      </c>
      <c r="L1" s="19" t="s">
        <v>35</v>
      </c>
      <c r="M1" s="19" t="s">
        <v>534</v>
      </c>
      <c r="N1" s="19" t="s">
        <v>535</v>
      </c>
      <c r="O1" s="19" t="s">
        <v>15</v>
      </c>
      <c r="P1" s="20" t="s">
        <v>38</v>
      </c>
      <c r="Q1" s="20" t="s">
        <v>16</v>
      </c>
      <c r="R1" s="20" t="s">
        <v>17</v>
      </c>
      <c r="S1" s="20" t="s">
        <v>18</v>
      </c>
      <c r="T1" s="21" t="s">
        <v>25</v>
      </c>
      <c r="U1" s="22" t="s">
        <v>33</v>
      </c>
      <c r="V1" s="22" t="s">
        <v>75</v>
      </c>
      <c r="W1" s="21" t="s">
        <v>26</v>
      </c>
      <c r="X1" s="21" t="s">
        <v>27</v>
      </c>
      <c r="Y1" s="21" t="s">
        <v>28</v>
      </c>
      <c r="Z1" s="21" t="s">
        <v>34</v>
      </c>
      <c r="AA1" s="23" t="s">
        <v>32</v>
      </c>
      <c r="AB1" s="23" t="s">
        <v>19</v>
      </c>
      <c r="AC1" s="23" t="s">
        <v>20</v>
      </c>
      <c r="AD1" s="23" t="s">
        <v>21</v>
      </c>
      <c r="AE1" s="23" t="s">
        <v>22</v>
      </c>
      <c r="AF1" s="38" t="s">
        <v>255</v>
      </c>
      <c r="AG1" s="38" t="s">
        <v>256</v>
      </c>
      <c r="AH1" s="23" t="s">
        <v>41</v>
      </c>
      <c r="AI1" s="23" t="s">
        <v>26</v>
      </c>
      <c r="AJ1" s="23" t="s">
        <v>31</v>
      </c>
      <c r="AK1" s="23" t="s">
        <v>91</v>
      </c>
      <c r="AL1" s="39" t="s">
        <v>254</v>
      </c>
      <c r="AM1" s="39" t="s">
        <v>265</v>
      </c>
      <c r="AN1" s="79" t="s">
        <v>549</v>
      </c>
      <c r="AQ1" t="s">
        <v>1</v>
      </c>
      <c r="AR1" t="s">
        <v>859</v>
      </c>
    </row>
    <row r="2" spans="1:46" ht="60" x14ac:dyDescent="0.25">
      <c r="A2" s="59">
        <v>518247</v>
      </c>
      <c r="B2" s="59" t="s">
        <v>3</v>
      </c>
      <c r="C2" s="51" t="s">
        <v>4</v>
      </c>
      <c r="D2" s="52">
        <v>45159</v>
      </c>
      <c r="E2" s="52">
        <v>45380</v>
      </c>
      <c r="F2" s="51" t="s">
        <v>77</v>
      </c>
      <c r="G2" s="52">
        <v>35276</v>
      </c>
      <c r="H2" s="39">
        <f>DATEDIF(G2,D2,"Y")</f>
        <v>27</v>
      </c>
      <c r="I2" s="51">
        <v>0</v>
      </c>
      <c r="J2" s="51">
        <v>28</v>
      </c>
      <c r="K2" s="51" t="s">
        <v>30</v>
      </c>
      <c r="L2" s="51" t="s">
        <v>78</v>
      </c>
      <c r="M2" s="51"/>
      <c r="N2" s="51"/>
      <c r="O2" s="51" t="s">
        <v>84</v>
      </c>
      <c r="P2" s="85">
        <f>33+4/7</f>
        <v>33.571428571428569</v>
      </c>
      <c r="Q2" s="51">
        <v>7</v>
      </c>
      <c r="R2" s="51">
        <v>0</v>
      </c>
      <c r="S2" s="51" t="s">
        <v>102</v>
      </c>
      <c r="T2" s="6" t="s">
        <v>84</v>
      </c>
      <c r="U2" s="5" t="s">
        <v>165</v>
      </c>
      <c r="V2" s="5" t="s">
        <v>77</v>
      </c>
      <c r="W2" s="13" t="s">
        <v>558</v>
      </c>
      <c r="X2" s="6" t="s">
        <v>82</v>
      </c>
      <c r="Y2" s="6" t="s">
        <v>198</v>
      </c>
      <c r="Z2" s="8" t="s">
        <v>4</v>
      </c>
      <c r="AA2" s="12">
        <v>45394</v>
      </c>
      <c r="AB2" s="80">
        <f>35+4/7</f>
        <v>35.571428571428569</v>
      </c>
      <c r="AC2" s="5"/>
      <c r="AD2" s="6" t="s">
        <v>180</v>
      </c>
      <c r="AE2" s="15">
        <f>DATEDIF(E2,AA2,"D")</f>
        <v>14</v>
      </c>
      <c r="AF2" s="15">
        <v>0</v>
      </c>
      <c r="AG2" s="5"/>
      <c r="AH2" s="6" t="s">
        <v>84</v>
      </c>
      <c r="AI2" s="13" t="s">
        <v>173</v>
      </c>
      <c r="AJ2" s="6" t="s">
        <v>200</v>
      </c>
      <c r="AK2" s="6" t="s">
        <v>201</v>
      </c>
      <c r="AL2" s="5" t="s">
        <v>134</v>
      </c>
      <c r="AM2" s="80">
        <f>35+4/7</f>
        <v>35.571428571428569</v>
      </c>
      <c r="AN2" s="5"/>
      <c r="AQ2" t="s">
        <v>7</v>
      </c>
      <c r="AR2">
        <v>7</v>
      </c>
      <c r="AT2" s="42" t="s">
        <v>880</v>
      </c>
    </row>
    <row r="3" spans="1:46" x14ac:dyDescent="0.25">
      <c r="A3" s="59">
        <v>529934</v>
      </c>
      <c r="B3" s="59" t="s">
        <v>3</v>
      </c>
      <c r="C3" s="51" t="s">
        <v>4</v>
      </c>
      <c r="D3" s="52">
        <v>45409</v>
      </c>
      <c r="E3" s="52">
        <v>45631</v>
      </c>
      <c r="F3" s="51" t="s">
        <v>77</v>
      </c>
      <c r="G3" s="52">
        <v>31591</v>
      </c>
      <c r="H3" s="39">
        <f>DATEDIF(G3,D3,"Y")</f>
        <v>37</v>
      </c>
      <c r="I3" s="51">
        <v>4</v>
      </c>
      <c r="J3" s="51">
        <v>26</v>
      </c>
      <c r="K3" s="51" t="s">
        <v>166</v>
      </c>
      <c r="L3" s="51" t="s">
        <v>167</v>
      </c>
      <c r="M3" s="40" t="s">
        <v>4</v>
      </c>
      <c r="N3" s="51" t="s">
        <v>92</v>
      </c>
      <c r="O3" s="51"/>
      <c r="P3" s="85">
        <f>33+5/7</f>
        <v>33.714285714285715</v>
      </c>
      <c r="Q3" s="51">
        <v>7</v>
      </c>
      <c r="R3" s="51">
        <v>0</v>
      </c>
      <c r="S3" s="51" t="s">
        <v>102</v>
      </c>
      <c r="T3" s="6" t="s">
        <v>80</v>
      </c>
      <c r="U3" s="6" t="s">
        <v>95</v>
      </c>
      <c r="V3" s="5" t="s">
        <v>77</v>
      </c>
      <c r="W3" s="5" t="s">
        <v>559</v>
      </c>
      <c r="X3" s="6" t="s">
        <v>82</v>
      </c>
      <c r="Y3" s="6" t="s">
        <v>195</v>
      </c>
      <c r="Z3" s="8" t="s">
        <v>179</v>
      </c>
      <c r="AA3" s="12">
        <v>45641</v>
      </c>
      <c r="AB3" s="80">
        <f>35+1/7</f>
        <v>35.142857142857146</v>
      </c>
      <c r="AC3" s="5"/>
      <c r="AD3" s="6" t="s">
        <v>180</v>
      </c>
      <c r="AE3" s="15">
        <f>DATEDIF(E3,AA3,"D")</f>
        <v>10</v>
      </c>
      <c r="AF3" s="15">
        <v>0</v>
      </c>
      <c r="AG3" s="5"/>
      <c r="AH3" s="6" t="s">
        <v>80</v>
      </c>
      <c r="AI3" s="5" t="s">
        <v>94</v>
      </c>
      <c r="AJ3" s="6" t="s">
        <v>82</v>
      </c>
      <c r="AK3" s="6" t="s">
        <v>175</v>
      </c>
      <c r="AL3" s="5" t="s">
        <v>134</v>
      </c>
      <c r="AM3" s="80">
        <f>35+1/7</f>
        <v>35.142857142857146</v>
      </c>
      <c r="AN3" s="5"/>
      <c r="AQ3" t="s">
        <v>860</v>
      </c>
      <c r="AR3">
        <v>1</v>
      </c>
    </row>
    <row r="4" spans="1:46" ht="30" x14ac:dyDescent="0.25">
      <c r="A4" s="59">
        <v>526788</v>
      </c>
      <c r="B4" s="59" t="s">
        <v>3</v>
      </c>
      <c r="C4" s="51" t="s">
        <v>101</v>
      </c>
      <c r="D4" s="52">
        <v>45403</v>
      </c>
      <c r="E4" s="52">
        <v>45564</v>
      </c>
      <c r="F4" s="51" t="s">
        <v>77</v>
      </c>
      <c r="G4" s="52">
        <v>30392</v>
      </c>
      <c r="H4" s="39">
        <f>DATEDIF(G4,D4,"Y")</f>
        <v>41</v>
      </c>
      <c r="I4" s="51">
        <v>5</v>
      </c>
      <c r="J4" s="51">
        <v>28</v>
      </c>
      <c r="K4" s="51" t="s">
        <v>30</v>
      </c>
      <c r="L4" s="51" t="s">
        <v>78</v>
      </c>
      <c r="M4" s="40" t="s">
        <v>182</v>
      </c>
      <c r="N4" s="40" t="s">
        <v>154</v>
      </c>
      <c r="O4" s="40"/>
      <c r="P4" s="85">
        <f>25+4/7</f>
        <v>25.571428571428573</v>
      </c>
      <c r="Q4" s="51">
        <v>7</v>
      </c>
      <c r="R4" s="51">
        <v>0</v>
      </c>
      <c r="S4" s="51" t="s">
        <v>102</v>
      </c>
      <c r="T4" s="6" t="s">
        <v>80</v>
      </c>
      <c r="U4" s="5" t="s">
        <v>95</v>
      </c>
      <c r="V4" s="5" t="s">
        <v>77</v>
      </c>
      <c r="W4" s="13" t="s">
        <v>558</v>
      </c>
      <c r="X4" s="6" t="s">
        <v>82</v>
      </c>
      <c r="Y4" s="6" t="s">
        <v>121</v>
      </c>
      <c r="Z4" s="8" t="s">
        <v>127</v>
      </c>
      <c r="AA4" s="12">
        <v>45647</v>
      </c>
      <c r="AB4" s="80">
        <f>36+6/7</f>
        <v>36.857142857142854</v>
      </c>
      <c r="AC4" s="5"/>
      <c r="AD4" s="5" t="s">
        <v>207</v>
      </c>
      <c r="AE4" s="15">
        <f>DATEDIF(E4,AA4,"D")</f>
        <v>83</v>
      </c>
      <c r="AF4" s="15">
        <v>1</v>
      </c>
      <c r="AG4" s="13" t="s">
        <v>118</v>
      </c>
      <c r="AH4" s="6" t="s">
        <v>80</v>
      </c>
      <c r="AI4" s="13" t="s">
        <v>120</v>
      </c>
      <c r="AJ4" s="5" t="s">
        <v>82</v>
      </c>
      <c r="AK4" s="5" t="s">
        <v>122</v>
      </c>
      <c r="AL4" s="6" t="s">
        <v>207</v>
      </c>
      <c r="AM4" s="80">
        <v>37</v>
      </c>
      <c r="AN4" s="5" t="s">
        <v>4</v>
      </c>
      <c r="AQ4" t="s">
        <v>3</v>
      </c>
      <c r="AR4">
        <v>14</v>
      </c>
    </row>
    <row r="5" spans="1:46" ht="30" x14ac:dyDescent="0.25">
      <c r="A5" s="60">
        <v>522883</v>
      </c>
      <c r="B5" s="6" t="s">
        <v>7</v>
      </c>
      <c r="C5" s="51" t="s">
        <v>4</v>
      </c>
      <c r="D5" s="52">
        <v>45301</v>
      </c>
      <c r="E5" s="52">
        <v>45479</v>
      </c>
      <c r="F5" s="51" t="s">
        <v>77</v>
      </c>
      <c r="G5" s="52">
        <v>33828</v>
      </c>
      <c r="H5" s="39">
        <f>DATEDIF(G5,D5,"Y")</f>
        <v>31</v>
      </c>
      <c r="I5" s="51">
        <v>0</v>
      </c>
      <c r="J5" s="51">
        <v>25</v>
      </c>
      <c r="K5" s="51" t="s">
        <v>135</v>
      </c>
      <c r="L5" s="51" t="s">
        <v>78</v>
      </c>
      <c r="M5" s="51"/>
      <c r="N5" s="51" t="s">
        <v>154</v>
      </c>
      <c r="O5" s="40"/>
      <c r="P5" s="85">
        <f>27+3/7</f>
        <v>27.428571428571427</v>
      </c>
      <c r="Q5" s="51">
        <v>2</v>
      </c>
      <c r="R5" s="51">
        <v>1</v>
      </c>
      <c r="S5" s="51" t="s">
        <v>102</v>
      </c>
      <c r="T5" s="5" t="s">
        <v>80</v>
      </c>
      <c r="U5" s="5" t="s">
        <v>165</v>
      </c>
      <c r="V5" s="5" t="s">
        <v>77</v>
      </c>
      <c r="W5" s="13" t="s">
        <v>558</v>
      </c>
      <c r="X5" s="5" t="s">
        <v>82</v>
      </c>
      <c r="Y5" s="5" t="s">
        <v>122</v>
      </c>
      <c r="Z5" s="8" t="s">
        <v>4</v>
      </c>
      <c r="AA5" s="12">
        <v>45548</v>
      </c>
      <c r="AB5" s="80">
        <f>37+2/7</f>
        <v>37.285714285714285</v>
      </c>
      <c r="AC5" s="5" t="s">
        <v>279</v>
      </c>
      <c r="AD5" s="5" t="s">
        <v>207</v>
      </c>
      <c r="AE5" s="15">
        <f>DATEDIF(E5,AA5,"D")</f>
        <v>69</v>
      </c>
      <c r="AF5" s="15">
        <v>2</v>
      </c>
      <c r="AG5" s="13" t="s">
        <v>464</v>
      </c>
      <c r="AH5" s="5" t="s">
        <v>84</v>
      </c>
      <c r="AI5" s="13" t="s">
        <v>173</v>
      </c>
      <c r="AJ5" s="5" t="s">
        <v>326</v>
      </c>
      <c r="AK5" s="5" t="s">
        <v>327</v>
      </c>
      <c r="AL5" s="5" t="s">
        <v>207</v>
      </c>
      <c r="AM5" s="102">
        <f>37+3/7</f>
        <v>37.428571428571431</v>
      </c>
      <c r="AN5" s="5" t="s">
        <v>4</v>
      </c>
    </row>
    <row r="6" spans="1:46" ht="45" x14ac:dyDescent="0.25">
      <c r="A6" s="61">
        <v>515419</v>
      </c>
      <c r="B6" s="6" t="s">
        <v>7</v>
      </c>
      <c r="C6" s="51" t="s">
        <v>4</v>
      </c>
      <c r="D6" s="52">
        <v>45464</v>
      </c>
      <c r="E6" s="52">
        <v>45324</v>
      </c>
      <c r="F6" s="51" t="s">
        <v>77</v>
      </c>
      <c r="G6" s="52">
        <v>30853</v>
      </c>
      <c r="H6" s="39">
        <f>DATEDIF(G6,D6,"Y")</f>
        <v>40</v>
      </c>
      <c r="I6" s="51">
        <v>0</v>
      </c>
      <c r="J6" s="51">
        <v>29</v>
      </c>
      <c r="K6" s="51" t="s">
        <v>135</v>
      </c>
      <c r="L6" s="51" t="s">
        <v>78</v>
      </c>
      <c r="M6" s="51"/>
      <c r="N6" s="51"/>
      <c r="O6" s="51"/>
      <c r="P6" s="85">
        <f>33+6/7</f>
        <v>33.857142857142854</v>
      </c>
      <c r="Q6" s="51">
        <v>2</v>
      </c>
      <c r="R6" s="51">
        <v>1</v>
      </c>
      <c r="S6" s="51" t="s">
        <v>98</v>
      </c>
      <c r="T6" s="5" t="s">
        <v>80</v>
      </c>
      <c r="U6" s="5" t="s">
        <v>165</v>
      </c>
      <c r="V6" s="5" t="s">
        <v>77</v>
      </c>
      <c r="W6" s="5" t="s">
        <v>559</v>
      </c>
      <c r="X6" s="13" t="s">
        <v>224</v>
      </c>
      <c r="Y6" s="5" t="s">
        <v>225</v>
      </c>
      <c r="Z6" s="8" t="s">
        <v>4</v>
      </c>
      <c r="AA6" s="12">
        <v>45345</v>
      </c>
      <c r="AB6" s="80">
        <f>36+6/7</f>
        <v>36.857142857142854</v>
      </c>
      <c r="AC6" s="5"/>
      <c r="AD6" s="5" t="s">
        <v>207</v>
      </c>
      <c r="AE6" s="15">
        <f>DATEDIF(E6,AA6,"D")</f>
        <v>21</v>
      </c>
      <c r="AF6" s="15">
        <v>0</v>
      </c>
      <c r="AG6" s="5"/>
      <c r="AH6" s="5" t="s">
        <v>80</v>
      </c>
      <c r="AI6" s="5" t="s">
        <v>94</v>
      </c>
      <c r="AJ6" s="6" t="s">
        <v>82</v>
      </c>
      <c r="AK6" s="13" t="s">
        <v>226</v>
      </c>
      <c r="AL6" s="5" t="s">
        <v>207</v>
      </c>
      <c r="AM6" s="80">
        <f>37+2/7</f>
        <v>37.285714285714285</v>
      </c>
      <c r="AN6" s="5" t="s">
        <v>4</v>
      </c>
    </row>
    <row r="7" spans="1:46" x14ac:dyDescent="0.25">
      <c r="A7" s="59">
        <v>523846</v>
      </c>
      <c r="B7" s="59" t="s">
        <v>3</v>
      </c>
      <c r="C7" s="51" t="s">
        <v>101</v>
      </c>
      <c r="D7" s="52">
        <v>45275</v>
      </c>
      <c r="E7" s="52">
        <v>45493</v>
      </c>
      <c r="F7" s="51" t="s">
        <v>77</v>
      </c>
      <c r="G7" s="52">
        <v>31275</v>
      </c>
      <c r="H7" s="39">
        <f>DATEDIF(G7,D7,"Y")</f>
        <v>38</v>
      </c>
      <c r="I7" s="51">
        <v>0</v>
      </c>
      <c r="J7" s="51">
        <v>27</v>
      </c>
      <c r="K7" s="51" t="s">
        <v>30</v>
      </c>
      <c r="L7" s="51" t="s">
        <v>78</v>
      </c>
      <c r="M7" s="51"/>
      <c r="N7" s="51"/>
      <c r="O7" s="51"/>
      <c r="P7" s="85">
        <f>33+1/7</f>
        <v>33.142857142857146</v>
      </c>
      <c r="Q7" s="51">
        <v>7</v>
      </c>
      <c r="R7" s="51">
        <v>0</v>
      </c>
      <c r="S7" s="51" t="s">
        <v>102</v>
      </c>
      <c r="T7" s="5" t="s">
        <v>80</v>
      </c>
      <c r="U7" s="5" t="s">
        <v>95</v>
      </c>
      <c r="V7" s="5" t="s">
        <v>78</v>
      </c>
      <c r="W7" s="5" t="s">
        <v>559</v>
      </c>
      <c r="X7" s="5" t="s">
        <v>82</v>
      </c>
      <c r="Y7" s="5" t="s">
        <v>111</v>
      </c>
      <c r="Z7" s="8" t="s">
        <v>127</v>
      </c>
      <c r="AA7" s="12">
        <v>45520</v>
      </c>
      <c r="AB7" s="80">
        <f>37+1/7</f>
        <v>37.142857142857146</v>
      </c>
      <c r="AC7" s="5"/>
      <c r="AD7" s="5" t="s">
        <v>207</v>
      </c>
      <c r="AE7" s="15">
        <f>DATEDIF(E7,AA7,"D")</f>
        <v>27</v>
      </c>
      <c r="AF7" s="15">
        <v>0</v>
      </c>
      <c r="AG7" s="5"/>
      <c r="AH7" s="5" t="s">
        <v>80</v>
      </c>
      <c r="AI7" s="5" t="s">
        <v>110</v>
      </c>
      <c r="AJ7" s="5" t="s">
        <v>82</v>
      </c>
      <c r="AK7" s="5" t="s">
        <v>112</v>
      </c>
      <c r="AL7" s="6" t="s">
        <v>207</v>
      </c>
      <c r="AM7" s="80">
        <f>37+2/7</f>
        <v>37.285714285714285</v>
      </c>
      <c r="AN7" s="5" t="s">
        <v>4</v>
      </c>
      <c r="AQ7" t="s">
        <v>861</v>
      </c>
      <c r="AR7">
        <v>33.799999999999997</v>
      </c>
      <c r="AS7" t="s">
        <v>862</v>
      </c>
    </row>
    <row r="8" spans="1:46" ht="60" x14ac:dyDescent="0.25">
      <c r="A8" s="59">
        <v>479535</v>
      </c>
      <c r="B8" s="59" t="s">
        <v>3</v>
      </c>
      <c r="C8" s="51" t="s">
        <v>4</v>
      </c>
      <c r="D8" s="52">
        <v>45048</v>
      </c>
      <c r="E8" s="52">
        <v>45214</v>
      </c>
      <c r="F8" s="51" t="s">
        <v>77</v>
      </c>
      <c r="G8" s="52">
        <v>34843</v>
      </c>
      <c r="H8" s="39">
        <f>DATEDIF(G8,D8,"Y")</f>
        <v>27</v>
      </c>
      <c r="I8" s="51">
        <v>3</v>
      </c>
      <c r="J8" s="51">
        <v>23</v>
      </c>
      <c r="K8" s="51" t="s">
        <v>30</v>
      </c>
      <c r="L8" s="51" t="s">
        <v>78</v>
      </c>
      <c r="M8" s="40" t="s">
        <v>4</v>
      </c>
      <c r="N8" s="40"/>
      <c r="O8" s="40" t="s">
        <v>262</v>
      </c>
      <c r="P8" s="85">
        <f>25+5/7</f>
        <v>25.714285714285715</v>
      </c>
      <c r="Q8" s="51">
        <v>7</v>
      </c>
      <c r="R8" s="51">
        <v>0</v>
      </c>
      <c r="S8" s="51">
        <v>2</v>
      </c>
      <c r="T8" s="6" t="s">
        <v>71</v>
      </c>
      <c r="U8" s="5" t="s">
        <v>165</v>
      </c>
      <c r="V8" s="5" t="s">
        <v>77</v>
      </c>
      <c r="W8" s="5" t="s">
        <v>559</v>
      </c>
      <c r="X8" s="6" t="s">
        <v>82</v>
      </c>
      <c r="Y8" s="6" t="s">
        <v>112</v>
      </c>
      <c r="Z8" s="8" t="s">
        <v>4</v>
      </c>
      <c r="AA8" s="12">
        <v>45292</v>
      </c>
      <c r="AB8" s="80">
        <f>36+6/7</f>
        <v>36.857142857142854</v>
      </c>
      <c r="AC8" s="5"/>
      <c r="AD8" s="6" t="s">
        <v>207</v>
      </c>
      <c r="AE8" s="15">
        <f>DATEDIF(E8,AA8,"D")</f>
        <v>78</v>
      </c>
      <c r="AF8" s="5">
        <v>0</v>
      </c>
      <c r="AG8" s="5">
        <v>0</v>
      </c>
      <c r="AH8" s="6" t="s">
        <v>71</v>
      </c>
      <c r="AI8" s="5" t="s">
        <v>94</v>
      </c>
      <c r="AJ8" s="5" t="s">
        <v>82</v>
      </c>
      <c r="AK8" s="6" t="s">
        <v>122</v>
      </c>
      <c r="AL8" s="5" t="s">
        <v>207</v>
      </c>
      <c r="AM8" s="80">
        <v>37</v>
      </c>
      <c r="AN8" s="5" t="s">
        <v>4</v>
      </c>
      <c r="AQ8" t="s">
        <v>12</v>
      </c>
      <c r="AR8">
        <v>28.04</v>
      </c>
      <c r="AS8" t="s">
        <v>864</v>
      </c>
    </row>
    <row r="9" spans="1:46" ht="45" x14ac:dyDescent="0.25">
      <c r="A9" s="59">
        <v>514032</v>
      </c>
      <c r="B9" s="59" t="s">
        <v>3</v>
      </c>
      <c r="C9" s="51" t="s">
        <v>101</v>
      </c>
      <c r="D9" s="52">
        <v>45060</v>
      </c>
      <c r="E9" s="52">
        <v>45300</v>
      </c>
      <c r="F9" s="51" t="s">
        <v>77</v>
      </c>
      <c r="G9" s="52">
        <v>31755</v>
      </c>
      <c r="H9" s="39">
        <f>DATEDIF(G9,D9,"Y")</f>
        <v>36</v>
      </c>
      <c r="I9" s="51">
        <v>0</v>
      </c>
      <c r="J9" s="51">
        <v>26</v>
      </c>
      <c r="K9" s="51" t="s">
        <v>30</v>
      </c>
      <c r="L9" s="51" t="s">
        <v>78</v>
      </c>
      <c r="M9" s="51"/>
      <c r="N9" s="51" t="s">
        <v>92</v>
      </c>
      <c r="O9" s="51"/>
      <c r="P9" s="85">
        <f>36+2/7</f>
        <v>36.285714285714285</v>
      </c>
      <c r="Q9" s="51">
        <v>7</v>
      </c>
      <c r="R9" s="51">
        <v>0</v>
      </c>
      <c r="S9" s="51" t="s">
        <v>98</v>
      </c>
      <c r="T9" s="5" t="s">
        <v>80</v>
      </c>
      <c r="U9" s="5" t="s">
        <v>95</v>
      </c>
      <c r="V9" s="5" t="s">
        <v>77</v>
      </c>
      <c r="W9" s="13" t="s">
        <v>560</v>
      </c>
      <c r="X9" s="5" t="s">
        <v>82</v>
      </c>
      <c r="Y9" s="6" t="s">
        <v>105</v>
      </c>
      <c r="Z9" s="8" t="s">
        <v>127</v>
      </c>
      <c r="AA9" s="12">
        <v>45304</v>
      </c>
      <c r="AB9" s="80">
        <f>36+6/7</f>
        <v>36.857142857142854</v>
      </c>
      <c r="AC9" s="5"/>
      <c r="AD9" s="5" t="s">
        <v>207</v>
      </c>
      <c r="AE9" s="15">
        <f>DATEDIF(E9,AA9,"D")</f>
        <v>4</v>
      </c>
      <c r="AF9" s="15">
        <v>0</v>
      </c>
      <c r="AG9" s="5"/>
      <c r="AH9" s="5" t="s">
        <v>80</v>
      </c>
      <c r="AI9" s="13" t="s">
        <v>103</v>
      </c>
      <c r="AJ9" s="5" t="s">
        <v>82</v>
      </c>
      <c r="AK9" s="6" t="s">
        <v>106</v>
      </c>
      <c r="AL9" s="6" t="s">
        <v>207</v>
      </c>
      <c r="AM9" s="80">
        <v>37</v>
      </c>
      <c r="AN9" s="5" t="s">
        <v>4</v>
      </c>
      <c r="AQ9" t="s">
        <v>11</v>
      </c>
      <c r="AR9">
        <v>1.18</v>
      </c>
      <c r="AS9" t="s">
        <v>863</v>
      </c>
    </row>
    <row r="10" spans="1:46" x14ac:dyDescent="0.25">
      <c r="A10" s="59">
        <v>413326</v>
      </c>
      <c r="B10" s="59" t="s">
        <v>3</v>
      </c>
      <c r="C10" s="51" t="s">
        <v>4</v>
      </c>
      <c r="D10" s="52">
        <v>45227</v>
      </c>
      <c r="E10" s="52">
        <v>45461</v>
      </c>
      <c r="F10" s="51" t="s">
        <v>77</v>
      </c>
      <c r="G10" s="52">
        <v>32775</v>
      </c>
      <c r="H10" s="39">
        <f>DATEDIF(G10,D10,"Y")</f>
        <v>34</v>
      </c>
      <c r="I10" s="51">
        <v>1</v>
      </c>
      <c r="J10" s="51">
        <v>27</v>
      </c>
      <c r="K10" s="51" t="s">
        <v>30</v>
      </c>
      <c r="L10" s="51" t="s">
        <v>78</v>
      </c>
      <c r="M10" s="40" t="s">
        <v>4</v>
      </c>
      <c r="N10" s="40"/>
      <c r="O10" s="51"/>
      <c r="P10" s="85">
        <f>35+3/7</f>
        <v>35.428571428571431</v>
      </c>
      <c r="Q10" s="51">
        <v>7</v>
      </c>
      <c r="R10" s="51">
        <v>0</v>
      </c>
      <c r="S10" s="51" t="s">
        <v>102</v>
      </c>
      <c r="T10" s="6" t="s">
        <v>80</v>
      </c>
      <c r="U10" s="6" t="s">
        <v>155</v>
      </c>
      <c r="V10" s="5" t="s">
        <v>77</v>
      </c>
      <c r="W10" s="5" t="s">
        <v>559</v>
      </c>
      <c r="X10" s="26" t="s">
        <v>82</v>
      </c>
      <c r="Y10" s="6" t="s">
        <v>189</v>
      </c>
      <c r="Z10" s="8" t="s">
        <v>4</v>
      </c>
      <c r="AA10" s="12">
        <v>45471</v>
      </c>
      <c r="AB10" s="80">
        <f>36+6/7</f>
        <v>36.857142857142854</v>
      </c>
      <c r="AC10" s="5"/>
      <c r="AD10" s="5" t="s">
        <v>207</v>
      </c>
      <c r="AE10" s="15">
        <f>DATEDIF(E10,AA10,"D")</f>
        <v>10</v>
      </c>
      <c r="AF10" s="15">
        <v>0</v>
      </c>
      <c r="AG10" s="5"/>
      <c r="AH10" s="6" t="s">
        <v>80</v>
      </c>
      <c r="AI10" s="5" t="s">
        <v>94</v>
      </c>
      <c r="AJ10" s="6" t="s">
        <v>82</v>
      </c>
      <c r="AK10" s="6" t="s">
        <v>190</v>
      </c>
      <c r="AL10" s="5" t="s">
        <v>207</v>
      </c>
      <c r="AM10" s="80">
        <v>37</v>
      </c>
      <c r="AN10" s="5" t="s">
        <v>4</v>
      </c>
      <c r="AQ10" t="s">
        <v>135</v>
      </c>
      <c r="AR10" t="s">
        <v>865</v>
      </c>
    </row>
    <row r="11" spans="1:46" ht="45" x14ac:dyDescent="0.25">
      <c r="A11" s="61">
        <v>515555</v>
      </c>
      <c r="B11" s="6" t="s">
        <v>7</v>
      </c>
      <c r="C11" s="40" t="s">
        <v>4</v>
      </c>
      <c r="D11" s="52">
        <v>45472</v>
      </c>
      <c r="E11" s="52">
        <v>45345</v>
      </c>
      <c r="F11" s="51" t="s">
        <v>77</v>
      </c>
      <c r="G11" s="52">
        <v>36510</v>
      </c>
      <c r="H11" s="39">
        <f>DATEDIF(G11,D11,"Y")</f>
        <v>24</v>
      </c>
      <c r="I11" s="51">
        <v>0</v>
      </c>
      <c r="J11" s="51">
        <v>33</v>
      </c>
      <c r="K11" s="51" t="s">
        <v>30</v>
      </c>
      <c r="L11" s="51" t="s">
        <v>78</v>
      </c>
      <c r="M11" s="51"/>
      <c r="N11" s="51" t="s">
        <v>92</v>
      </c>
      <c r="O11" s="40" t="s">
        <v>538</v>
      </c>
      <c r="P11" s="85">
        <f>35+5/7</f>
        <v>35.714285714285715</v>
      </c>
      <c r="Q11" s="51">
        <v>3</v>
      </c>
      <c r="R11" s="51">
        <v>1</v>
      </c>
      <c r="S11" s="51" t="s">
        <v>98</v>
      </c>
      <c r="T11" s="5" t="s">
        <v>84</v>
      </c>
      <c r="U11" s="5" t="s">
        <v>165</v>
      </c>
      <c r="V11" s="5" t="s">
        <v>78</v>
      </c>
      <c r="W11" s="5" t="s">
        <v>559</v>
      </c>
      <c r="X11" s="13" t="s">
        <v>292</v>
      </c>
      <c r="Y11" s="5" t="s">
        <v>294</v>
      </c>
      <c r="Z11" s="46" t="s">
        <v>4</v>
      </c>
      <c r="AA11" s="12">
        <v>45350</v>
      </c>
      <c r="AB11" s="80">
        <f>36+6/7</f>
        <v>36.857142857142854</v>
      </c>
      <c r="AC11" s="5"/>
      <c r="AD11" s="5" t="s">
        <v>207</v>
      </c>
      <c r="AE11" s="15">
        <f>DATEDIF(E11,AA11,"D")</f>
        <v>5</v>
      </c>
      <c r="AF11" s="15">
        <v>1</v>
      </c>
      <c r="AG11" s="13" t="s">
        <v>289</v>
      </c>
      <c r="AH11" s="5" t="s">
        <v>84</v>
      </c>
      <c r="AI11" s="5" t="s">
        <v>94</v>
      </c>
      <c r="AJ11" s="13" t="s">
        <v>293</v>
      </c>
      <c r="AK11" s="5" t="s">
        <v>291</v>
      </c>
      <c r="AL11" s="5" t="s">
        <v>207</v>
      </c>
      <c r="AM11" s="80">
        <f>37+2/7</f>
        <v>37.285714285714285</v>
      </c>
      <c r="AN11" s="5" t="s">
        <v>84</v>
      </c>
      <c r="AQ11" t="s">
        <v>35</v>
      </c>
      <c r="AR11" t="s">
        <v>866</v>
      </c>
    </row>
    <row r="12" spans="1:46" ht="30" x14ac:dyDescent="0.25">
      <c r="A12" s="59">
        <v>257038</v>
      </c>
      <c r="B12" s="59" t="s">
        <v>3</v>
      </c>
      <c r="C12" s="8" t="s">
        <v>5</v>
      </c>
      <c r="D12" s="84">
        <v>45392</v>
      </c>
      <c r="E12" s="84">
        <v>45558</v>
      </c>
      <c r="F12" s="8" t="s">
        <v>77</v>
      </c>
      <c r="G12" s="84">
        <v>30963</v>
      </c>
      <c r="H12" s="21">
        <f>DATEDIF(G12,D12,"Y")</f>
        <v>39</v>
      </c>
      <c r="I12" s="8">
        <v>2</v>
      </c>
      <c r="J12" s="8">
        <v>24</v>
      </c>
      <c r="K12" s="8" t="s">
        <v>135</v>
      </c>
      <c r="L12" s="8" t="s">
        <v>78</v>
      </c>
      <c r="M12" s="8" t="s">
        <v>6</v>
      </c>
      <c r="N12" s="8" t="s">
        <v>181</v>
      </c>
      <c r="O12" s="8"/>
      <c r="P12" s="81">
        <f>25+5/7</f>
        <v>25.714285714285715</v>
      </c>
      <c r="Q12" s="8">
        <v>7</v>
      </c>
      <c r="R12" s="8">
        <v>0</v>
      </c>
      <c r="S12" s="8" t="s">
        <v>102</v>
      </c>
      <c r="T12" s="6" t="s">
        <v>80</v>
      </c>
      <c r="U12" s="6" t="s">
        <v>95</v>
      </c>
      <c r="V12" s="9" t="s">
        <v>77</v>
      </c>
      <c r="W12" s="5" t="s">
        <v>559</v>
      </c>
      <c r="X12" s="9" t="s">
        <v>82</v>
      </c>
      <c r="Y12" s="6" t="s">
        <v>191</v>
      </c>
      <c r="Z12" s="8" t="s">
        <v>179</v>
      </c>
      <c r="AA12" s="12">
        <v>45643</v>
      </c>
      <c r="AB12" s="82">
        <f>37+6/7</f>
        <v>37.857142857142854</v>
      </c>
      <c r="AC12" s="9"/>
      <c r="AD12" s="5" t="s">
        <v>207</v>
      </c>
      <c r="AE12" s="15">
        <f>DATEDIF(E12,AA12,"D")</f>
        <v>85</v>
      </c>
      <c r="AF12" s="15">
        <v>2</v>
      </c>
      <c r="AG12" s="25" t="s">
        <v>196</v>
      </c>
      <c r="AH12" s="6" t="s">
        <v>80</v>
      </c>
      <c r="AI12" s="5" t="s">
        <v>94</v>
      </c>
      <c r="AJ12" s="6" t="s">
        <v>197</v>
      </c>
      <c r="AK12" s="6" t="s">
        <v>83</v>
      </c>
      <c r="AL12" s="5" t="s">
        <v>207</v>
      </c>
      <c r="AM12" s="80">
        <f>38</f>
        <v>38</v>
      </c>
      <c r="AN12" s="5" t="s">
        <v>4</v>
      </c>
    </row>
    <row r="13" spans="1:46" ht="105" x14ac:dyDescent="0.25">
      <c r="A13" s="60">
        <v>530666</v>
      </c>
      <c r="B13" s="6" t="s">
        <v>7</v>
      </c>
      <c r="C13" s="51" t="s">
        <v>4</v>
      </c>
      <c r="D13" s="52">
        <v>45408</v>
      </c>
      <c r="E13" s="52">
        <v>45646</v>
      </c>
      <c r="F13" s="51" t="s">
        <v>77</v>
      </c>
      <c r="G13" s="52">
        <v>34857</v>
      </c>
      <c r="H13" s="39">
        <f>DATEDIF(G13,D13,"Y")</f>
        <v>28</v>
      </c>
      <c r="I13" s="51">
        <v>0</v>
      </c>
      <c r="J13" s="51">
        <v>40</v>
      </c>
      <c r="K13" s="51" t="s">
        <v>30</v>
      </c>
      <c r="L13" s="51" t="s">
        <v>78</v>
      </c>
      <c r="M13" s="51"/>
      <c r="N13" s="51"/>
      <c r="O13" s="51"/>
      <c r="P13" s="85">
        <v>36</v>
      </c>
      <c r="Q13" s="51">
        <v>2</v>
      </c>
      <c r="R13" s="51">
        <v>1</v>
      </c>
      <c r="S13" s="51" t="s">
        <v>98</v>
      </c>
      <c r="T13" s="5" t="s">
        <v>80</v>
      </c>
      <c r="U13" s="5" t="s">
        <v>95</v>
      </c>
      <c r="V13" s="5" t="s">
        <v>78</v>
      </c>
      <c r="W13" s="13" t="s">
        <v>558</v>
      </c>
      <c r="X13" s="5" t="s">
        <v>82</v>
      </c>
      <c r="Y13" s="5" t="s">
        <v>323</v>
      </c>
      <c r="Z13" s="8" t="s">
        <v>179</v>
      </c>
      <c r="AA13" s="12">
        <v>45652</v>
      </c>
      <c r="AB13" s="80">
        <f>36+6/7</f>
        <v>36.857142857142854</v>
      </c>
      <c r="AC13" s="5"/>
      <c r="AD13" s="5" t="s">
        <v>207</v>
      </c>
      <c r="AE13" s="15">
        <f>DATEDIF(E13,AA13,"D")</f>
        <v>6</v>
      </c>
      <c r="AF13" s="15">
        <v>1</v>
      </c>
      <c r="AG13" s="13" t="s">
        <v>322</v>
      </c>
      <c r="AH13" s="5" t="s">
        <v>80</v>
      </c>
      <c r="AI13" s="13" t="s">
        <v>321</v>
      </c>
      <c r="AJ13" s="5" t="s">
        <v>324</v>
      </c>
      <c r="AK13" s="5" t="s">
        <v>324</v>
      </c>
      <c r="AL13" s="5" t="s">
        <v>207</v>
      </c>
      <c r="AM13" s="102">
        <v>37</v>
      </c>
      <c r="AN13" s="5" t="s">
        <v>4</v>
      </c>
      <c r="AQ13" s="42" t="s">
        <v>867</v>
      </c>
      <c r="AR13" s="42" t="s">
        <v>868</v>
      </c>
      <c r="AS13" s="42" t="s">
        <v>869</v>
      </c>
      <c r="AT13" s="42" t="s">
        <v>870</v>
      </c>
    </row>
    <row r="14" spans="1:46" x14ac:dyDescent="0.25">
      <c r="A14" s="59">
        <v>521825</v>
      </c>
      <c r="B14" s="59" t="s">
        <v>3</v>
      </c>
      <c r="C14" s="51" t="s">
        <v>4</v>
      </c>
      <c r="D14" s="52">
        <v>45221</v>
      </c>
      <c r="E14" s="52">
        <v>45456</v>
      </c>
      <c r="F14" s="51" t="s">
        <v>77</v>
      </c>
      <c r="G14" s="52">
        <v>33880</v>
      </c>
      <c r="H14" s="39">
        <f>DATEDIF(G14,D14,"Y")</f>
        <v>31</v>
      </c>
      <c r="I14" s="51">
        <v>2</v>
      </c>
      <c r="J14" s="51">
        <v>23</v>
      </c>
      <c r="K14" s="51" t="s">
        <v>30</v>
      </c>
      <c r="L14" s="51" t="s">
        <v>78</v>
      </c>
      <c r="M14" s="40" t="s">
        <v>4</v>
      </c>
      <c r="N14" s="51"/>
      <c r="O14" s="51"/>
      <c r="P14" s="85">
        <f>35+4/7</f>
        <v>35.571428571428569</v>
      </c>
      <c r="Q14" s="51">
        <v>7</v>
      </c>
      <c r="R14" s="51">
        <v>0</v>
      </c>
      <c r="S14" s="51" t="s">
        <v>102</v>
      </c>
      <c r="T14" s="6" t="s">
        <v>80</v>
      </c>
      <c r="U14" s="6" t="s">
        <v>165</v>
      </c>
      <c r="V14" s="5" t="s">
        <v>78</v>
      </c>
      <c r="W14" s="5" t="s">
        <v>559</v>
      </c>
      <c r="X14" s="6" t="s">
        <v>82</v>
      </c>
      <c r="Y14" s="6" t="s">
        <v>185</v>
      </c>
      <c r="Z14" s="8" t="s">
        <v>4</v>
      </c>
      <c r="AA14" s="12">
        <v>45465</v>
      </c>
      <c r="AB14" s="80">
        <f>36+6/7</f>
        <v>36.857142857142854</v>
      </c>
      <c r="AC14" s="5"/>
      <c r="AD14" s="5" t="s">
        <v>207</v>
      </c>
      <c r="AE14" s="15">
        <f>DATEDIF(E14,AA14,"D")</f>
        <v>9</v>
      </c>
      <c r="AF14" s="15">
        <v>0</v>
      </c>
      <c r="AG14" s="5"/>
      <c r="AH14" s="6" t="s">
        <v>80</v>
      </c>
      <c r="AI14" s="5" t="s">
        <v>94</v>
      </c>
      <c r="AJ14" s="5" t="s">
        <v>82</v>
      </c>
      <c r="AK14" s="5" t="s">
        <v>186</v>
      </c>
      <c r="AL14" s="6" t="s">
        <v>207</v>
      </c>
      <c r="AM14" s="80">
        <v>37</v>
      </c>
      <c r="AN14" s="5" t="s">
        <v>4</v>
      </c>
    </row>
    <row r="15" spans="1:46" ht="30" x14ac:dyDescent="0.25">
      <c r="A15" s="57">
        <v>519588</v>
      </c>
      <c r="B15" s="6" t="s">
        <v>7</v>
      </c>
      <c r="C15" s="51" t="s">
        <v>4</v>
      </c>
      <c r="D15" s="52">
        <v>45218</v>
      </c>
      <c r="E15" s="52">
        <v>45426</v>
      </c>
      <c r="F15" s="51" t="s">
        <v>77</v>
      </c>
      <c r="G15" s="52">
        <v>33908</v>
      </c>
      <c r="H15" s="39">
        <f>DATEDIF(G15,D15,"Y")</f>
        <v>30</v>
      </c>
      <c r="I15" s="51">
        <v>1</v>
      </c>
      <c r="J15" s="51">
        <v>21</v>
      </c>
      <c r="K15" s="51" t="s">
        <v>30</v>
      </c>
      <c r="L15" s="51" t="s">
        <v>78</v>
      </c>
      <c r="M15" s="51"/>
      <c r="N15" s="51" t="s">
        <v>92</v>
      </c>
      <c r="O15" s="51"/>
      <c r="P15" s="85">
        <f>33+1/7</f>
        <v>33.142857142857146</v>
      </c>
      <c r="Q15" s="51">
        <v>3</v>
      </c>
      <c r="R15" s="51">
        <v>1</v>
      </c>
      <c r="S15" s="51" t="s">
        <v>102</v>
      </c>
      <c r="T15" s="9" t="s">
        <v>80</v>
      </c>
      <c r="U15" s="6" t="s">
        <v>165</v>
      </c>
      <c r="V15" s="9" t="s">
        <v>77</v>
      </c>
      <c r="W15" s="13" t="s">
        <v>558</v>
      </c>
      <c r="X15" s="6" t="s">
        <v>82</v>
      </c>
      <c r="Y15" s="6" t="s">
        <v>205</v>
      </c>
      <c r="Z15" s="8" t="s">
        <v>4</v>
      </c>
      <c r="AA15" s="12">
        <v>45431</v>
      </c>
      <c r="AB15" s="82">
        <f>33+6/7</f>
        <v>33.857142857142854</v>
      </c>
      <c r="AC15" s="9"/>
      <c r="AD15" s="164" t="s">
        <v>564</v>
      </c>
      <c r="AE15" s="15">
        <f>DATEDIF(E15,AA15,"D")</f>
        <v>5</v>
      </c>
      <c r="AF15" s="15">
        <v>0</v>
      </c>
      <c r="AG15" s="5"/>
      <c r="AH15" s="5" t="s">
        <v>80</v>
      </c>
      <c r="AI15" s="13" t="s">
        <v>173</v>
      </c>
      <c r="AJ15" s="6" t="s">
        <v>82</v>
      </c>
      <c r="AK15" s="6" t="s">
        <v>204</v>
      </c>
      <c r="AL15" s="6" t="s">
        <v>329</v>
      </c>
      <c r="AM15" s="83">
        <v>34</v>
      </c>
      <c r="AN15" s="6" t="s">
        <v>329</v>
      </c>
      <c r="AQ15" t="s">
        <v>608</v>
      </c>
      <c r="AR15">
        <v>32.6</v>
      </c>
      <c r="AS15" t="s">
        <v>871</v>
      </c>
    </row>
    <row r="16" spans="1:46" ht="30" x14ac:dyDescent="0.25">
      <c r="A16" s="59">
        <v>521859</v>
      </c>
      <c r="B16" s="59" t="s">
        <v>3</v>
      </c>
      <c r="C16" s="51" t="s">
        <v>4</v>
      </c>
      <c r="D16" s="52">
        <v>45238</v>
      </c>
      <c r="E16" s="52">
        <v>45462</v>
      </c>
      <c r="F16" s="51" t="s">
        <v>77</v>
      </c>
      <c r="G16" s="52">
        <v>34321</v>
      </c>
      <c r="H16" s="39">
        <f>DATEDIF(G16,D16,"Y")</f>
        <v>29</v>
      </c>
      <c r="I16" s="51">
        <v>0</v>
      </c>
      <c r="J16" s="51">
        <v>32</v>
      </c>
      <c r="K16" s="51" t="s">
        <v>30</v>
      </c>
      <c r="L16" s="51" t="s">
        <v>78</v>
      </c>
      <c r="M16" s="51"/>
      <c r="N16" s="51" t="s">
        <v>154</v>
      </c>
      <c r="O16" s="51"/>
      <c r="P16" s="85">
        <v>34</v>
      </c>
      <c r="Q16" s="51">
        <v>7</v>
      </c>
      <c r="R16" s="51">
        <v>0</v>
      </c>
      <c r="S16" s="51" t="s">
        <v>102</v>
      </c>
      <c r="T16" s="6" t="s">
        <v>80</v>
      </c>
      <c r="U16" s="6" t="s">
        <v>165</v>
      </c>
      <c r="V16" s="5" t="s">
        <v>77</v>
      </c>
      <c r="W16" s="13" t="s">
        <v>558</v>
      </c>
      <c r="X16" s="6" t="s">
        <v>82</v>
      </c>
      <c r="Y16" s="6" t="s">
        <v>188</v>
      </c>
      <c r="Z16" s="8" t="s">
        <v>4</v>
      </c>
      <c r="AA16" s="12">
        <v>45475</v>
      </c>
      <c r="AB16" s="80">
        <f>35+6/7</f>
        <v>35.857142857142854</v>
      </c>
      <c r="AC16" s="5"/>
      <c r="AD16" s="27" t="s">
        <v>567</v>
      </c>
      <c r="AE16" s="15">
        <f>DATEDIF(E16,AA16,"D")</f>
        <v>13</v>
      </c>
      <c r="AF16" s="15">
        <v>0</v>
      </c>
      <c r="AG16" s="5"/>
      <c r="AH16" s="6" t="s">
        <v>80</v>
      </c>
      <c r="AI16" s="13" t="s">
        <v>153</v>
      </c>
      <c r="AJ16" s="5" t="s">
        <v>158</v>
      </c>
      <c r="AK16" s="5" t="s">
        <v>159</v>
      </c>
      <c r="AL16" s="6" t="s">
        <v>343</v>
      </c>
      <c r="AM16" s="83">
        <f>36+2/7</f>
        <v>36.285714285714285</v>
      </c>
      <c r="AN16" s="27" t="s">
        <v>500</v>
      </c>
      <c r="AQ16" t="s">
        <v>19</v>
      </c>
      <c r="AR16">
        <v>35.36</v>
      </c>
      <c r="AS16" t="s">
        <v>873</v>
      </c>
    </row>
    <row r="17" spans="1:50" ht="30" x14ac:dyDescent="0.25">
      <c r="A17" s="59">
        <v>521930</v>
      </c>
      <c r="B17" s="59" t="s">
        <v>3</v>
      </c>
      <c r="C17" s="51" t="s">
        <v>4</v>
      </c>
      <c r="D17" s="52">
        <v>45225</v>
      </c>
      <c r="E17" s="52">
        <v>45457</v>
      </c>
      <c r="F17" s="51" t="s">
        <v>77</v>
      </c>
      <c r="G17" s="52">
        <v>32401</v>
      </c>
      <c r="H17" s="39">
        <f>DATEDIF(G17,D17,"Y")</f>
        <v>35</v>
      </c>
      <c r="I17" s="51">
        <v>0</v>
      </c>
      <c r="J17" s="51">
        <v>35</v>
      </c>
      <c r="K17" s="51" t="s">
        <v>30</v>
      </c>
      <c r="L17" s="51" t="s">
        <v>78</v>
      </c>
      <c r="M17" s="51"/>
      <c r="N17" s="51"/>
      <c r="O17" s="51"/>
      <c r="P17" s="85">
        <f>35+1/7</f>
        <v>35.142857142857146</v>
      </c>
      <c r="Q17" s="51">
        <v>7</v>
      </c>
      <c r="R17" s="51">
        <v>0</v>
      </c>
      <c r="S17" s="51" t="s">
        <v>98</v>
      </c>
      <c r="T17" s="6" t="s">
        <v>80</v>
      </c>
      <c r="U17" s="6" t="s">
        <v>155</v>
      </c>
      <c r="V17" s="5" t="s">
        <v>77</v>
      </c>
      <c r="W17" s="13" t="s">
        <v>558</v>
      </c>
      <c r="X17" s="26" t="s">
        <v>82</v>
      </c>
      <c r="Y17" s="6" t="s">
        <v>191</v>
      </c>
      <c r="Z17" s="8" t="s">
        <v>4</v>
      </c>
      <c r="AA17" s="12">
        <v>45461</v>
      </c>
      <c r="AB17" s="80">
        <f>35+5/7</f>
        <v>35.714285714285715</v>
      </c>
      <c r="AC17" s="5"/>
      <c r="AD17" s="27" t="s">
        <v>567</v>
      </c>
      <c r="AE17" s="15">
        <f>DATEDIF(E17,AA17,"D")</f>
        <v>4</v>
      </c>
      <c r="AF17" s="15">
        <v>0</v>
      </c>
      <c r="AG17" s="5"/>
      <c r="AH17" s="6" t="s">
        <v>80</v>
      </c>
      <c r="AI17" s="13" t="s">
        <v>153</v>
      </c>
      <c r="AJ17" s="6" t="s">
        <v>82</v>
      </c>
      <c r="AK17" s="6" t="s">
        <v>175</v>
      </c>
      <c r="AL17" s="5" t="s">
        <v>343</v>
      </c>
      <c r="AM17" s="83">
        <v>37</v>
      </c>
      <c r="AN17" s="6" t="s">
        <v>4</v>
      </c>
      <c r="AQ17" t="s">
        <v>872</v>
      </c>
      <c r="AR17">
        <v>22.59</v>
      </c>
      <c r="AS17" t="s">
        <v>874</v>
      </c>
    </row>
    <row r="18" spans="1:50" x14ac:dyDescent="0.25">
      <c r="A18" s="63">
        <v>516943</v>
      </c>
      <c r="B18" s="6" t="s">
        <v>7</v>
      </c>
      <c r="C18" s="51" t="s">
        <v>4</v>
      </c>
      <c r="D18" s="52">
        <v>45120</v>
      </c>
      <c r="E18" s="52">
        <v>45355</v>
      </c>
      <c r="F18" s="51" t="s">
        <v>77</v>
      </c>
      <c r="G18" s="52">
        <v>34022</v>
      </c>
      <c r="H18" s="39">
        <f>DATEDIF(G18,D18,"Y")</f>
        <v>30</v>
      </c>
      <c r="I18" s="51">
        <v>0</v>
      </c>
      <c r="J18" s="51">
        <v>23</v>
      </c>
      <c r="K18" s="51" t="s">
        <v>30</v>
      </c>
      <c r="L18" s="51" t="s">
        <v>78</v>
      </c>
      <c r="M18" s="51"/>
      <c r="N18" s="51" t="s">
        <v>154</v>
      </c>
      <c r="O18" s="40" t="s">
        <v>84</v>
      </c>
      <c r="P18" s="85">
        <f>36+1/7</f>
        <v>36.142857142857146</v>
      </c>
      <c r="Q18" s="51">
        <v>2</v>
      </c>
      <c r="R18" s="51">
        <v>2</v>
      </c>
      <c r="S18" s="51" t="s">
        <v>98</v>
      </c>
      <c r="T18" s="5" t="s">
        <v>279</v>
      </c>
      <c r="U18" s="5" t="s">
        <v>165</v>
      </c>
      <c r="V18" s="5" t="s">
        <v>78</v>
      </c>
      <c r="W18" s="5" t="s">
        <v>559</v>
      </c>
      <c r="X18" s="6" t="s">
        <v>82</v>
      </c>
      <c r="Y18" s="5" t="s">
        <v>285</v>
      </c>
      <c r="Z18" s="8" t="s">
        <v>4</v>
      </c>
      <c r="AA18" s="12">
        <v>45359</v>
      </c>
      <c r="AB18" s="80">
        <f>36+5/7</f>
        <v>36.714285714285715</v>
      </c>
      <c r="AC18" s="5"/>
      <c r="AD18" s="5" t="s">
        <v>563</v>
      </c>
      <c r="AE18" s="15">
        <f>DATEDIF(E18,AA18,"D")</f>
        <v>4</v>
      </c>
      <c r="AF18" s="15">
        <v>1</v>
      </c>
      <c r="AG18" s="5" t="s">
        <v>281</v>
      </c>
      <c r="AH18" s="5" t="s">
        <v>84</v>
      </c>
      <c r="AI18" s="5" t="s">
        <v>94</v>
      </c>
      <c r="AJ18" s="6" t="s">
        <v>82</v>
      </c>
      <c r="AK18" s="5" t="s">
        <v>283</v>
      </c>
      <c r="AL18" s="5" t="s">
        <v>260</v>
      </c>
      <c r="AM18" s="80">
        <f>36+5/7</f>
        <v>36.714285714285715</v>
      </c>
      <c r="AN18" s="5" t="s">
        <v>260</v>
      </c>
    </row>
    <row r="19" spans="1:50" ht="75" x14ac:dyDescent="0.25">
      <c r="A19" s="57">
        <v>518898</v>
      </c>
      <c r="B19" s="58" t="s">
        <v>8</v>
      </c>
      <c r="C19" s="8" t="s">
        <v>39</v>
      </c>
      <c r="D19" s="84">
        <v>45169</v>
      </c>
      <c r="E19" s="84">
        <v>45394</v>
      </c>
      <c r="F19" s="8" t="s">
        <v>77</v>
      </c>
      <c r="G19" s="84">
        <v>32190</v>
      </c>
      <c r="H19" s="21">
        <f>DATEDIF(G19,D19,"Y")</f>
        <v>35</v>
      </c>
      <c r="I19" s="8">
        <v>0</v>
      </c>
      <c r="J19" s="8">
        <v>43</v>
      </c>
      <c r="K19" s="8" t="s">
        <v>30</v>
      </c>
      <c r="L19" s="8" t="s">
        <v>78</v>
      </c>
      <c r="M19" s="8"/>
      <c r="N19" s="8" t="s">
        <v>154</v>
      </c>
      <c r="O19" s="8"/>
      <c r="P19" s="81">
        <f>32+1/7</f>
        <v>32.142857142857146</v>
      </c>
      <c r="Q19" s="8">
        <v>2</v>
      </c>
      <c r="R19" s="8">
        <v>0</v>
      </c>
      <c r="S19" s="8">
        <v>2</v>
      </c>
      <c r="T19" s="5" t="s">
        <v>80</v>
      </c>
      <c r="U19" s="5" t="s">
        <v>165</v>
      </c>
      <c r="V19" s="5" t="s">
        <v>77</v>
      </c>
      <c r="W19" s="13" t="s">
        <v>558</v>
      </c>
      <c r="X19" s="5" t="s">
        <v>361</v>
      </c>
      <c r="Y19" s="5">
        <v>1.2</v>
      </c>
      <c r="Z19" s="8" t="s">
        <v>4</v>
      </c>
      <c r="AA19" s="12">
        <v>45398</v>
      </c>
      <c r="AB19" s="80">
        <f>34+5/7</f>
        <v>34.714285714285715</v>
      </c>
      <c r="AC19" s="5"/>
      <c r="AD19" s="5" t="s">
        <v>565</v>
      </c>
      <c r="AE19" s="15">
        <f>DATEDIF(E19,AA19,"D")</f>
        <v>4</v>
      </c>
      <c r="AF19" s="5">
        <v>2</v>
      </c>
      <c r="AG19" s="13" t="s">
        <v>510</v>
      </c>
      <c r="AH19" s="5" t="s">
        <v>80</v>
      </c>
      <c r="AI19" s="13" t="s">
        <v>88</v>
      </c>
      <c r="AJ19" s="5" t="s">
        <v>82</v>
      </c>
      <c r="AK19" s="5">
        <v>0.8</v>
      </c>
      <c r="AL19" s="6" t="s">
        <v>343</v>
      </c>
      <c r="AM19" s="83" t="s">
        <v>208</v>
      </c>
      <c r="AN19" s="6" t="s">
        <v>208</v>
      </c>
      <c r="AQ19" t="s">
        <v>875</v>
      </c>
    </row>
    <row r="20" spans="1:50" x14ac:dyDescent="0.25">
      <c r="A20" s="59">
        <v>528617</v>
      </c>
      <c r="B20" s="59" t="s">
        <v>3</v>
      </c>
      <c r="C20" s="51" t="s">
        <v>4</v>
      </c>
      <c r="D20" s="52">
        <v>45426</v>
      </c>
      <c r="E20" s="52">
        <v>45604</v>
      </c>
      <c r="F20" s="51" t="s">
        <v>77</v>
      </c>
      <c r="G20" s="52">
        <v>34639</v>
      </c>
      <c r="H20" s="39">
        <f>DATEDIF(G20,D20,"Y")</f>
        <v>29</v>
      </c>
      <c r="I20" s="51">
        <v>1</v>
      </c>
      <c r="J20" s="51">
        <v>30</v>
      </c>
      <c r="K20" s="51" t="s">
        <v>30</v>
      </c>
      <c r="L20" s="51" t="s">
        <v>78</v>
      </c>
      <c r="M20" s="40" t="s">
        <v>539</v>
      </c>
      <c r="N20" s="40"/>
      <c r="O20" s="51"/>
      <c r="P20" s="85">
        <f>27+3/7</f>
        <v>27.428571428571427</v>
      </c>
      <c r="Q20" s="51">
        <v>7</v>
      </c>
      <c r="R20" s="51">
        <v>0</v>
      </c>
      <c r="S20" s="51" t="s">
        <v>102</v>
      </c>
      <c r="T20" s="6" t="s">
        <v>80</v>
      </c>
      <c r="U20" s="6" t="s">
        <v>95</v>
      </c>
      <c r="V20" s="5" t="s">
        <v>77</v>
      </c>
      <c r="W20" s="5" t="s">
        <v>559</v>
      </c>
      <c r="X20" s="6" t="s">
        <v>82</v>
      </c>
      <c r="Y20" s="6" t="s">
        <v>562</v>
      </c>
      <c r="Z20" s="8" t="s">
        <v>127</v>
      </c>
      <c r="AA20" s="12">
        <v>45604</v>
      </c>
      <c r="AB20" s="80">
        <f>27+3/7</f>
        <v>27.428571428571427</v>
      </c>
      <c r="AC20" s="5"/>
      <c r="AD20" s="27" t="s">
        <v>576</v>
      </c>
      <c r="AE20" s="15">
        <f>DATEDIF(E20,AA20,"D")</f>
        <v>0</v>
      </c>
      <c r="AF20" s="15">
        <v>1</v>
      </c>
      <c r="AG20" s="5"/>
      <c r="AH20" s="6" t="s">
        <v>80</v>
      </c>
      <c r="AI20" s="5"/>
      <c r="AJ20" s="5"/>
      <c r="AK20" s="5"/>
      <c r="AL20" s="6" t="s">
        <v>343</v>
      </c>
      <c r="AM20" s="83">
        <f>28+5/7</f>
        <v>28.714285714285715</v>
      </c>
      <c r="AN20" s="6" t="s">
        <v>498</v>
      </c>
    </row>
    <row r="21" spans="1:50" ht="75" x14ac:dyDescent="0.25">
      <c r="A21" s="61">
        <v>516202</v>
      </c>
      <c r="B21" s="6" t="s">
        <v>7</v>
      </c>
      <c r="C21" s="51" t="s">
        <v>4</v>
      </c>
      <c r="D21" s="52">
        <v>45126</v>
      </c>
      <c r="E21" s="52">
        <v>45343</v>
      </c>
      <c r="F21" s="51" t="s">
        <v>77</v>
      </c>
      <c r="G21" s="52">
        <v>28194</v>
      </c>
      <c r="H21" s="39">
        <f>DATEDIF(G21,D21,"Y")</f>
        <v>46</v>
      </c>
      <c r="I21" s="51">
        <v>0</v>
      </c>
      <c r="J21" s="51">
        <v>23</v>
      </c>
      <c r="K21" s="51" t="s">
        <v>135</v>
      </c>
      <c r="L21" s="51" t="s">
        <v>78</v>
      </c>
      <c r="M21" s="40"/>
      <c r="N21" s="40"/>
      <c r="O21" s="51"/>
      <c r="P21" s="85">
        <v>33</v>
      </c>
      <c r="Q21" s="51">
        <v>2</v>
      </c>
      <c r="R21" s="51">
        <v>1</v>
      </c>
      <c r="S21" s="51" t="s">
        <v>102</v>
      </c>
      <c r="T21" s="5" t="s">
        <v>80</v>
      </c>
      <c r="U21" s="5" t="s">
        <v>165</v>
      </c>
      <c r="V21" s="5" t="s">
        <v>78</v>
      </c>
      <c r="W21" s="13" t="s">
        <v>558</v>
      </c>
      <c r="X21" s="6" t="s">
        <v>82</v>
      </c>
      <c r="Y21" s="6" t="s">
        <v>248</v>
      </c>
      <c r="Z21" s="8" t="s">
        <v>4</v>
      </c>
      <c r="AA21" s="12">
        <v>45355</v>
      </c>
      <c r="AB21" s="80">
        <f>34+4/7</f>
        <v>34.571428571428569</v>
      </c>
      <c r="AC21" s="5"/>
      <c r="AD21" s="13" t="s">
        <v>574</v>
      </c>
      <c r="AE21" s="15">
        <f>DATEDIF(E21,AA21,"D")</f>
        <v>12</v>
      </c>
      <c r="AF21" s="15">
        <v>0</v>
      </c>
      <c r="AG21" s="5"/>
      <c r="AH21" s="5" t="s">
        <v>80</v>
      </c>
      <c r="AI21" s="27" t="s">
        <v>128</v>
      </c>
      <c r="AJ21" s="5" t="s">
        <v>82</v>
      </c>
      <c r="AK21" s="5" t="s">
        <v>247</v>
      </c>
      <c r="AL21" s="5" t="s">
        <v>329</v>
      </c>
      <c r="AM21" s="80">
        <f>34+4/7</f>
        <v>34.571428571428569</v>
      </c>
      <c r="AN21" s="5" t="s">
        <v>4</v>
      </c>
      <c r="AQ21" s="42" t="s">
        <v>876</v>
      </c>
      <c r="AS21" t="s">
        <v>877</v>
      </c>
      <c r="AV21" t="s">
        <v>27</v>
      </c>
      <c r="AW21" t="s">
        <v>329</v>
      </c>
    </row>
    <row r="22" spans="1:50" ht="30" x14ac:dyDescent="0.25">
      <c r="A22" s="59">
        <v>527122</v>
      </c>
      <c r="B22" s="59" t="s">
        <v>3</v>
      </c>
      <c r="C22" s="51" t="s">
        <v>101</v>
      </c>
      <c r="D22" s="52">
        <v>45434</v>
      </c>
      <c r="E22" s="52">
        <v>45573</v>
      </c>
      <c r="F22" s="51" t="s">
        <v>77</v>
      </c>
      <c r="G22" s="52">
        <v>31412</v>
      </c>
      <c r="H22" s="39">
        <f>DATEDIF(G22,D22,"Y")</f>
        <v>38</v>
      </c>
      <c r="I22" s="51">
        <v>5</v>
      </c>
      <c r="J22" s="51">
        <v>27</v>
      </c>
      <c r="K22" s="51" t="s">
        <v>166</v>
      </c>
      <c r="L22" s="51" t="s">
        <v>78</v>
      </c>
      <c r="M22" s="51" t="s">
        <v>76</v>
      </c>
      <c r="N22" s="51"/>
      <c r="O22" s="51"/>
      <c r="P22" s="85">
        <f>21+6/7</f>
        <v>21.857142857142858</v>
      </c>
      <c r="Q22" s="51">
        <v>7</v>
      </c>
      <c r="R22" s="51">
        <v>0</v>
      </c>
      <c r="S22" s="51" t="s">
        <v>98</v>
      </c>
      <c r="T22" s="6" t="s">
        <v>80</v>
      </c>
      <c r="U22" s="6" t="s">
        <v>95</v>
      </c>
      <c r="V22" s="5" t="s">
        <v>77</v>
      </c>
      <c r="W22" s="13" t="s">
        <v>558</v>
      </c>
      <c r="X22" s="6" t="s">
        <v>82</v>
      </c>
      <c r="Y22" s="6" t="s">
        <v>193</v>
      </c>
      <c r="Z22" s="8" t="s">
        <v>127</v>
      </c>
      <c r="AA22" s="12">
        <v>45602</v>
      </c>
      <c r="AB22" s="80">
        <v>26</v>
      </c>
      <c r="AC22" s="5" t="s">
        <v>84</v>
      </c>
      <c r="AD22" s="5" t="s">
        <v>566</v>
      </c>
      <c r="AE22" s="15">
        <f>DATEDIF(E22,AA22,"D")</f>
        <v>29</v>
      </c>
      <c r="AF22" s="15">
        <v>0</v>
      </c>
      <c r="AG22" s="5"/>
      <c r="AH22" s="6" t="s">
        <v>84</v>
      </c>
      <c r="AI22" s="13" t="s">
        <v>173</v>
      </c>
      <c r="AJ22" s="6" t="s">
        <v>82</v>
      </c>
      <c r="AK22" s="6" t="s">
        <v>175</v>
      </c>
      <c r="AL22" s="5" t="s">
        <v>84</v>
      </c>
      <c r="AM22" s="83">
        <f>26+4/7</f>
        <v>26.571428571428573</v>
      </c>
      <c r="AN22" s="6" t="s">
        <v>260</v>
      </c>
      <c r="AS22" t="s">
        <v>879</v>
      </c>
      <c r="AV22" t="s">
        <v>884</v>
      </c>
      <c r="AW22" t="s">
        <v>886</v>
      </c>
      <c r="AX22" t="s">
        <v>887</v>
      </c>
    </row>
    <row r="23" spans="1:50" ht="30" x14ac:dyDescent="0.25">
      <c r="A23" s="59">
        <v>522270</v>
      </c>
      <c r="B23" s="59" t="s">
        <v>3</v>
      </c>
      <c r="C23" s="51" t="s">
        <v>4</v>
      </c>
      <c r="D23" s="52">
        <v>45392</v>
      </c>
      <c r="E23" s="52">
        <v>45470</v>
      </c>
      <c r="F23" s="51" t="s">
        <v>77</v>
      </c>
      <c r="G23" s="52">
        <v>30963</v>
      </c>
      <c r="H23" s="39">
        <f>DATEDIF(G23,D23,"Y")</f>
        <v>39</v>
      </c>
      <c r="I23" s="51">
        <v>2</v>
      </c>
      <c r="J23" s="51">
        <v>24</v>
      </c>
      <c r="K23" s="51" t="s">
        <v>166</v>
      </c>
      <c r="L23" s="51" t="s">
        <v>167</v>
      </c>
      <c r="M23" s="51"/>
      <c r="N23" s="51" t="s">
        <v>92</v>
      </c>
      <c r="O23" s="40" t="s">
        <v>556</v>
      </c>
      <c r="P23" s="85">
        <f>34+5/7</f>
        <v>34.714285714285715</v>
      </c>
      <c r="Q23" s="51">
        <v>7</v>
      </c>
      <c r="R23" s="51">
        <v>0</v>
      </c>
      <c r="S23" s="51" t="s">
        <v>102</v>
      </c>
      <c r="T23" s="27" t="s">
        <v>84</v>
      </c>
      <c r="U23" s="6" t="s">
        <v>165</v>
      </c>
      <c r="V23" s="5" t="s">
        <v>77</v>
      </c>
      <c r="W23" s="13" t="s">
        <v>558</v>
      </c>
      <c r="X23" s="6" t="s">
        <v>82</v>
      </c>
      <c r="Y23" s="6" t="s">
        <v>192</v>
      </c>
      <c r="Z23" s="8" t="s">
        <v>4</v>
      </c>
      <c r="AA23" s="12">
        <v>45475</v>
      </c>
      <c r="AB23" s="80">
        <f>35+2/7</f>
        <v>35.285714285714285</v>
      </c>
      <c r="AC23" s="5"/>
      <c r="AD23" s="6" t="s">
        <v>566</v>
      </c>
      <c r="AE23" s="15">
        <f>DATEDIF(E23,AA23,"D")</f>
        <v>5</v>
      </c>
      <c r="AF23" s="15">
        <v>0</v>
      </c>
      <c r="AG23" s="27" t="s">
        <v>172</v>
      </c>
      <c r="AH23" s="27" t="s">
        <v>84</v>
      </c>
      <c r="AI23" s="13" t="s">
        <v>163</v>
      </c>
      <c r="AJ23" s="6" t="s">
        <v>82</v>
      </c>
      <c r="AK23" s="6" t="s">
        <v>175</v>
      </c>
      <c r="AL23" s="5" t="s">
        <v>84</v>
      </c>
      <c r="AM23" s="83" t="s">
        <v>208</v>
      </c>
      <c r="AN23" s="6" t="s">
        <v>501</v>
      </c>
      <c r="AS23" t="s">
        <v>878</v>
      </c>
      <c r="AV23" t="s">
        <v>885</v>
      </c>
    </row>
    <row r="25" spans="1:50" x14ac:dyDescent="0.25">
      <c r="AS25" t="s">
        <v>881</v>
      </c>
    </row>
    <row r="26" spans="1:50" x14ac:dyDescent="0.25">
      <c r="AS26" t="s">
        <v>882</v>
      </c>
    </row>
    <row r="27" spans="1:50" x14ac:dyDescent="0.25">
      <c r="H27">
        <f>AVERAGE(H2:H26)</f>
        <v>33.81818181818182</v>
      </c>
      <c r="I27">
        <f>AVERAGE(I2:I26)</f>
        <v>1.1818181818181819</v>
      </c>
      <c r="J27">
        <f>AVERAGE(J2:J26)</f>
        <v>28.045454545454547</v>
      </c>
      <c r="P27" s="188">
        <f>AVERAGE(P2:P26)</f>
        <v>32.058441558441558</v>
      </c>
      <c r="AB27" s="188">
        <f>AVERAGE(AB2:AB26)</f>
        <v>35.363636363636353</v>
      </c>
      <c r="AE27" s="188">
        <f t="shared" ref="AC27:AE27" si="0">AVERAGE(AE2:AE26)</f>
        <v>22.59090909090909</v>
      </c>
      <c r="AS27" t="s">
        <v>883</v>
      </c>
    </row>
  </sheetData>
  <autoFilter ref="A1:AN1" xr:uid="{29814B1B-0AB5-4EE0-99B7-E7FAB72B25FB}">
    <sortState ref="A2:AN23">
      <sortCondition ref="A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enquete perinat 2021</vt:lpstr>
      <vt:lpstr>tableau</vt:lpstr>
      <vt:lpstr>tableau (2)</vt:lpstr>
      <vt:lpstr>tableau patho</vt:lpstr>
      <vt:lpstr>population</vt:lpstr>
      <vt:lpstr>RCF2</vt:lpstr>
      <vt:lpstr>RCF3</vt:lpstr>
      <vt:lpstr>RCF7</vt:lpstr>
      <vt:lpstr>PE</vt:lpstr>
      <vt:lpstr>HTAC</vt:lpstr>
      <vt:lpstr>HTAG</vt:lpstr>
    </vt:vector>
  </TitlesOfParts>
  <Company>Fondation Sante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Sandrine GUENEAU</dc:creator>
  <cp:lastModifiedBy>Sandrine GUENEAU</cp:lastModifiedBy>
  <dcterms:created xsi:type="dcterms:W3CDTF">2024-12-30T20:54:34Z</dcterms:created>
  <dcterms:modified xsi:type="dcterms:W3CDTF">2025-04-16T20:05:23Z</dcterms:modified>
</cp:coreProperties>
</file>