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drawings/drawing3.xml" ContentType="application/vnd.openxmlformats-officedocument.drawingml.chartshapes+xml"/>
  <Override PartName="/xl/charts/chart12.xml" ContentType="application/vnd.openxmlformats-officedocument.drawingml.chart+xml"/>
  <Override PartName="/xl/drawings/drawing4.xml" ContentType="application/vnd.openxmlformats-officedocument.drawingml.chartshapes+xml"/>
  <Override PartName="/xl/charts/chart13.xml" ContentType="application/vnd.openxmlformats-officedocument.drawingml.chart+xml"/>
  <Override PartName="/xl/drawings/drawing5.xml" ContentType="application/vnd.openxmlformats-officedocument.drawingml.chartshapes+xml"/>
  <Override PartName="/xl/charts/chart14.xml" ContentType="application/vnd.openxmlformats-officedocument.drawingml.chart+xml"/>
  <Override PartName="/xl/drawings/drawing6.xml" ContentType="application/vnd.openxmlformats-officedocument.drawingml.chartshapes+xml"/>
  <Override PartName="/xl/charts/chart15.xml" ContentType="application/vnd.openxmlformats-officedocument.drawingml.chart+xml"/>
  <Override PartName="/xl/drawings/drawing7.xml" ContentType="application/vnd.openxmlformats-officedocument.drawingml.chartshapes+xml"/>
  <Override PartName="/xl/charts/chart16.xml" ContentType="application/vnd.openxmlformats-officedocument.drawingml.chart+xml"/>
  <Override PartName="/xl/drawings/drawing8.xml" ContentType="application/vnd.openxmlformats-officedocument.drawingml.chartshapes+xml"/>
  <Override PartName="/xl/charts/chart17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prgc\lisemgit\openlisem\auxfiles\"/>
    </mc:Choice>
  </mc:AlternateContent>
  <xr:revisionPtr revIDLastSave="0" documentId="13_ncr:1_{D504A8B4-5E2D-4D45-8F8A-1F7A878BE17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Equations" sheetId="4" r:id="rId1"/>
    <sheet name="Equations-Protected" sheetId="6" r:id="rId2"/>
    <sheet name="Sheet1" sheetId="1" r:id="rId3"/>
    <sheet name="Sheet2" sheetId="2" r:id="rId4"/>
    <sheet name="Sheet3" sheetId="3" r:id="rId5"/>
  </sheets>
  <definedNames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in" localSheetId="0" hidden="1">2</definedName>
    <definedName name="solver_lin" localSheetId="1" hidden="1">2</definedName>
    <definedName name="solver_neg" localSheetId="0" hidden="1">2</definedName>
    <definedName name="solver_neg" localSheetId="1" hidden="1">2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Equations!#REF!</definedName>
    <definedName name="solver_opt" localSheetId="1" hidden="1">'Equations-Protected'!$AS$19</definedName>
    <definedName name="solver_pre" localSheetId="0" hidden="1">0.000001</definedName>
    <definedName name="solver_pre" localSheetId="1" hidden="1">0.000001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47" i="4" l="1"/>
  <c r="AE47" i="4"/>
  <c r="AD49" i="4"/>
  <c r="AC49" i="4"/>
  <c r="AF43" i="4"/>
  <c r="AF44" i="4"/>
  <c r="AG46" i="4"/>
  <c r="AF46" i="4"/>
  <c r="AE45" i="4"/>
  <c r="AG44" i="4"/>
  <c r="B12" i="1"/>
  <c r="B11" i="1"/>
  <c r="AG37" i="4"/>
  <c r="AG38" i="4"/>
  <c r="AG39" i="4"/>
  <c r="AG40" i="4"/>
  <c r="AG36" i="4"/>
  <c r="AH29" i="4"/>
  <c r="AH30" i="4"/>
  <c r="AH31" i="4"/>
  <c r="AH32" i="4"/>
  <c r="AH33" i="4"/>
  <c r="AH34" i="4"/>
  <c r="AH28" i="4"/>
  <c r="G15" i="4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H15" i="4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AH43" i="4" l="1"/>
  <c r="AF45" i="4"/>
  <c r="AH45" i="4" s="1"/>
  <c r="W18" i="6"/>
  <c r="X18" i="6" s="1"/>
  <c r="M18" i="6" s="1"/>
  <c r="Y18" i="6"/>
  <c r="Z18" i="6" s="1"/>
  <c r="AA18" i="6"/>
  <c r="AB18" i="6"/>
  <c r="AD18" i="6"/>
  <c r="W19" i="6"/>
  <c r="X19" i="6" s="1"/>
  <c r="M19" i="6" s="1"/>
  <c r="Y19" i="6"/>
  <c r="Z19" i="6" s="1"/>
  <c r="AA19" i="6"/>
  <c r="AB19" i="6"/>
  <c r="AD19" i="6"/>
  <c r="W20" i="6"/>
  <c r="X20" i="6" s="1"/>
  <c r="M20" i="6" s="1"/>
  <c r="Y20" i="6"/>
  <c r="Z20" i="6" s="1"/>
  <c r="AA20" i="6"/>
  <c r="AB20" i="6"/>
  <c r="AC20" i="6"/>
  <c r="AE20" i="6" s="1"/>
  <c r="AF20" i="6" s="1"/>
  <c r="AG20" i="6" s="1"/>
  <c r="AD20" i="6"/>
  <c r="BD20" i="6"/>
  <c r="BO20" i="6"/>
  <c r="CA20" i="6"/>
  <c r="CA21" i="6" s="1"/>
  <c r="CA22" i="6" s="1"/>
  <c r="CA23" i="6" s="1"/>
  <c r="CA24" i="6" s="1"/>
  <c r="CA25" i="6" s="1"/>
  <c r="W21" i="6"/>
  <c r="X21" i="6" s="1"/>
  <c r="M21" i="6" s="1"/>
  <c r="Y21" i="6"/>
  <c r="Z21" i="6"/>
  <c r="AA21" i="6"/>
  <c r="AB21" i="6"/>
  <c r="AD21" i="6"/>
  <c r="BD21" i="6"/>
  <c r="BD22" i="6" s="1"/>
  <c r="BD23" i="6" s="1"/>
  <c r="BD24" i="6" s="1"/>
  <c r="BD25" i="6" s="1"/>
  <c r="BO21" i="6"/>
  <c r="BP21" i="6" s="1"/>
  <c r="BR21" i="6"/>
  <c r="W22" i="6"/>
  <c r="X22" i="6"/>
  <c r="M22" i="6" s="1"/>
  <c r="Y22" i="6"/>
  <c r="Z22" i="6" s="1"/>
  <c r="AA22" i="6"/>
  <c r="AB22" i="6" s="1"/>
  <c r="AC22" i="6" s="1"/>
  <c r="AE22" i="6" s="1"/>
  <c r="AF22" i="6" s="1"/>
  <c r="AG22" i="6" s="1"/>
  <c r="AH22" i="6" s="1"/>
  <c r="AD22" i="6"/>
  <c r="BO22" i="6"/>
  <c r="BP22" i="6" s="1"/>
  <c r="BR22" i="6"/>
  <c r="BS22" i="6"/>
  <c r="W23" i="6"/>
  <c r="X23" i="6"/>
  <c r="M23" i="6" s="1"/>
  <c r="Y23" i="6"/>
  <c r="Z23" i="6"/>
  <c r="AA23" i="6"/>
  <c r="AB23" i="6"/>
  <c r="AC23" i="6" s="1"/>
  <c r="AE23" i="6" s="1"/>
  <c r="AF23" i="6" s="1"/>
  <c r="AG23" i="6" s="1"/>
  <c r="AD23" i="6"/>
  <c r="BO23" i="6"/>
  <c r="BS23" i="6"/>
  <c r="W24" i="6"/>
  <c r="X24" i="6"/>
  <c r="M24" i="6"/>
  <c r="Y24" i="6"/>
  <c r="Z24" i="6"/>
  <c r="AA24" i="6"/>
  <c r="AB24" i="6"/>
  <c r="AC24" i="6" s="1"/>
  <c r="AE24" i="6" s="1"/>
  <c r="AF24" i="6" s="1"/>
  <c r="AG24" i="6" s="1"/>
  <c r="AD24" i="6"/>
  <c r="BO24" i="6"/>
  <c r="W25" i="6"/>
  <c r="X25" i="6" s="1"/>
  <c r="M25" i="6" s="1"/>
  <c r="Y25" i="6"/>
  <c r="Z25" i="6" s="1"/>
  <c r="AA25" i="6"/>
  <c r="AB25" i="6"/>
  <c r="AD25" i="6"/>
  <c r="BO25" i="6"/>
  <c r="BP25" i="6" s="1"/>
  <c r="BQ25" i="6"/>
  <c r="BR25" i="6"/>
  <c r="BS25" i="6"/>
  <c r="M26" i="6"/>
  <c r="W26" i="6"/>
  <c r="X26" i="6" s="1"/>
  <c r="Y26" i="6"/>
  <c r="Z26" i="6"/>
  <c r="AA26" i="6"/>
  <c r="AB26" i="6"/>
  <c r="AD26" i="6"/>
  <c r="AE26" i="6" s="1"/>
  <c r="AF26" i="6" s="1"/>
  <c r="BO26" i="6"/>
  <c r="W27" i="6"/>
  <c r="X27" i="6"/>
  <c r="M27" i="6"/>
  <c r="Y27" i="6"/>
  <c r="Z27" i="6" s="1"/>
  <c r="AA27" i="6"/>
  <c r="AB27" i="6" s="1"/>
  <c r="AC27" i="6" s="1"/>
  <c r="AE27" i="6" s="1"/>
  <c r="AF27" i="6" s="1"/>
  <c r="AG27" i="6" s="1"/>
  <c r="AD27" i="6"/>
  <c r="BD27" i="6"/>
  <c r="BO27" i="6"/>
  <c r="BP27" i="6" s="1"/>
  <c r="BQ27" i="6"/>
  <c r="CA27" i="6"/>
  <c r="CA28" i="6" s="1"/>
  <c r="CA29" i="6" s="1"/>
  <c r="W28" i="6"/>
  <c r="X28" i="6" s="1"/>
  <c r="M28" i="6" s="1"/>
  <c r="Y28" i="6"/>
  <c r="Z28" i="6" s="1"/>
  <c r="AA28" i="6"/>
  <c r="AB28" i="6"/>
  <c r="AD28" i="6"/>
  <c r="BD28" i="6"/>
  <c r="BD29" i="6"/>
  <c r="BO28" i="6"/>
  <c r="AX29" i="6"/>
  <c r="AY29" i="6"/>
  <c r="AZ29" i="6"/>
  <c r="BA29" i="6"/>
  <c r="BO29" i="6"/>
  <c r="BQ29" i="6"/>
  <c r="W30" i="6"/>
  <c r="X30" i="6" s="1"/>
  <c r="M30" i="6" s="1"/>
  <c r="AX22" i="6" s="1"/>
  <c r="Y30" i="6"/>
  <c r="Z30" i="6" s="1"/>
  <c r="AA30" i="6"/>
  <c r="AB30" i="6" s="1"/>
  <c r="AC30" i="6" s="1"/>
  <c r="AD30" i="6"/>
  <c r="BO30" i="6"/>
  <c r="BS30" i="6"/>
  <c r="W31" i="6"/>
  <c r="X31" i="6"/>
  <c r="M31" i="6" s="1"/>
  <c r="AY22" i="6" s="1"/>
  <c r="Y31" i="6"/>
  <c r="Z31" i="6"/>
  <c r="AA31" i="6"/>
  <c r="AB31" i="6" s="1"/>
  <c r="AD31" i="6"/>
  <c r="BO31" i="6"/>
  <c r="BS31" i="6" s="1"/>
  <c r="W32" i="6"/>
  <c r="X32" i="6"/>
  <c r="M32" i="6"/>
  <c r="AZ22" i="6" s="1"/>
  <c r="Y32" i="6"/>
  <c r="Z32" i="6" s="1"/>
  <c r="AA32" i="6"/>
  <c r="AB32" i="6" s="1"/>
  <c r="AC32" i="6" s="1"/>
  <c r="AE32" i="6" s="1"/>
  <c r="AF32" i="6"/>
  <c r="AG32" i="6" s="1"/>
  <c r="AD32" i="6"/>
  <c r="BD32" i="6"/>
  <c r="BO32" i="6"/>
  <c r="BP32" i="6" s="1"/>
  <c r="BR32" i="6"/>
  <c r="BS32" i="6"/>
  <c r="CA32" i="6"/>
  <c r="W33" i="6"/>
  <c r="X33" i="6" s="1"/>
  <c r="M33" i="6" s="1"/>
  <c r="BA22" i="6" s="1"/>
  <c r="Y33" i="6"/>
  <c r="Z33" i="6"/>
  <c r="AA33" i="6"/>
  <c r="AB33" i="6" s="1"/>
  <c r="AC33" i="6" s="1"/>
  <c r="AE33" i="6" s="1"/>
  <c r="AF33" i="6" s="1"/>
  <c r="AG33" i="6" s="1"/>
  <c r="R33" i="6" s="1"/>
  <c r="AD33" i="6"/>
  <c r="BD33" i="6"/>
  <c r="BD34" i="6"/>
  <c r="BD35" i="6" s="1"/>
  <c r="BD36" i="6" s="1"/>
  <c r="BD37" i="6"/>
  <c r="BO33" i="6"/>
  <c r="CA33" i="6"/>
  <c r="CA34" i="6"/>
  <c r="CA35" i="6" s="1"/>
  <c r="CA36" i="6" s="1"/>
  <c r="CA37" i="6"/>
  <c r="BO34" i="6"/>
  <c r="BO35" i="6"/>
  <c r="BP35" i="6" s="1"/>
  <c r="BR35" i="6"/>
  <c r="BO36" i="6"/>
  <c r="AX37" i="6"/>
  <c r="AY37" i="6"/>
  <c r="AZ37" i="6"/>
  <c r="BA37" i="6"/>
  <c r="BO37" i="6"/>
  <c r="AX38" i="6"/>
  <c r="AY38" i="6"/>
  <c r="AZ38" i="6"/>
  <c r="BA38" i="6"/>
  <c r="BO38" i="6"/>
  <c r="AX39" i="6"/>
  <c r="AY39" i="6"/>
  <c r="AZ39" i="6"/>
  <c r="BA39" i="6"/>
  <c r="W40" i="6"/>
  <c r="X40" i="6"/>
  <c r="M40" i="6" s="1"/>
  <c r="Y40" i="6"/>
  <c r="Z40" i="6" s="1"/>
  <c r="AA40" i="6"/>
  <c r="AB40" i="6"/>
  <c r="AC40" i="6"/>
  <c r="AE40" i="6" s="1"/>
  <c r="AF40" i="6" s="1"/>
  <c r="AG40" i="6" s="1"/>
  <c r="AI40" i="6" s="1"/>
  <c r="AD40" i="6"/>
  <c r="AX40" i="6"/>
  <c r="AY40" i="6"/>
  <c r="AZ40" i="6"/>
  <c r="BA40" i="6"/>
  <c r="W41" i="6"/>
  <c r="X41" i="6"/>
  <c r="M41" i="6" s="1"/>
  <c r="Y41" i="6"/>
  <c r="Z41" i="6" s="1"/>
  <c r="AA41" i="6"/>
  <c r="AB41" i="6"/>
  <c r="AC41" i="6" s="1"/>
  <c r="AE41" i="6" s="1"/>
  <c r="AF41" i="6" s="1"/>
  <c r="AG41" i="6" s="1"/>
  <c r="AH41" i="6" s="1"/>
  <c r="AD41" i="6"/>
  <c r="AX41" i="6"/>
  <c r="AY41" i="6"/>
  <c r="AZ41" i="6"/>
  <c r="BA41" i="6"/>
  <c r="W42" i="6"/>
  <c r="X42" i="6" s="1"/>
  <c r="M42" i="6" s="1"/>
  <c r="Y42" i="6"/>
  <c r="Z42" i="6" s="1"/>
  <c r="AA42" i="6"/>
  <c r="AB42" i="6"/>
  <c r="AC42" i="6" s="1"/>
  <c r="AE42" i="6" s="1"/>
  <c r="AF42" i="6" s="1"/>
  <c r="AG42" i="6" s="1"/>
  <c r="AI42" i="6" s="1"/>
  <c r="AD42" i="6"/>
  <c r="BI42" i="6"/>
  <c r="BI43" i="6"/>
  <c r="W43" i="6"/>
  <c r="X43" i="6" s="1"/>
  <c r="M43" i="6" s="1"/>
  <c r="Y43" i="6"/>
  <c r="Z43" i="6" s="1"/>
  <c r="AA43" i="6"/>
  <c r="AB43" i="6" s="1"/>
  <c r="AC43" i="6" s="1"/>
  <c r="AE43" i="6" s="1"/>
  <c r="AF43" i="6" s="1"/>
  <c r="AG43" i="6" s="1"/>
  <c r="AD43" i="6"/>
  <c r="W44" i="6"/>
  <c r="X44" i="6" s="1"/>
  <c r="M44" i="6" s="1"/>
  <c r="Y44" i="6"/>
  <c r="Z44" i="6" s="1"/>
  <c r="AA44" i="6"/>
  <c r="AB44" i="6" s="1"/>
  <c r="AC44" i="6" s="1"/>
  <c r="AE44" i="6"/>
  <c r="AF44" i="6" s="1"/>
  <c r="AG44" i="6" s="1"/>
  <c r="AD44" i="6"/>
  <c r="W45" i="6"/>
  <c r="X45" i="6"/>
  <c r="M45" i="6" s="1"/>
  <c r="Y45" i="6"/>
  <c r="Z45" i="6"/>
  <c r="AA45" i="6"/>
  <c r="AB45" i="6" s="1"/>
  <c r="AC45" i="6" s="1"/>
  <c r="AE45" i="6" s="1"/>
  <c r="AF45" i="6" s="1"/>
  <c r="AG45" i="6" s="1"/>
  <c r="AD45" i="6"/>
  <c r="W46" i="6"/>
  <c r="X46" i="6"/>
  <c r="M46" i="6" s="1"/>
  <c r="Y46" i="6"/>
  <c r="Z46" i="6" s="1"/>
  <c r="AA46" i="6"/>
  <c r="AB46" i="6" s="1"/>
  <c r="AC46" i="6" s="1"/>
  <c r="AE46" i="6" s="1"/>
  <c r="AF46" i="6" s="1"/>
  <c r="AG46" i="6" s="1"/>
  <c r="AD46" i="6"/>
  <c r="W47" i="6"/>
  <c r="X47" i="6"/>
  <c r="M47" i="6" s="1"/>
  <c r="Y47" i="6"/>
  <c r="Z47" i="6" s="1"/>
  <c r="AA47" i="6"/>
  <c r="AB47" i="6" s="1"/>
  <c r="AD47" i="6"/>
  <c r="W48" i="6"/>
  <c r="X48" i="6"/>
  <c r="M48" i="6" s="1"/>
  <c r="Y48" i="6"/>
  <c r="Z48" i="6"/>
  <c r="AA48" i="6"/>
  <c r="AB48" i="6" s="1"/>
  <c r="AD48" i="6"/>
  <c r="W49" i="6"/>
  <c r="X49" i="6"/>
  <c r="M49" i="6" s="1"/>
  <c r="Y49" i="6"/>
  <c r="Z49" i="6"/>
  <c r="AA49" i="6"/>
  <c r="AB49" i="6" s="1"/>
  <c r="AC49" i="6" s="1"/>
  <c r="AE49" i="6" s="1"/>
  <c r="AF49" i="6" s="1"/>
  <c r="AG49" i="6" s="1"/>
  <c r="AD49" i="6"/>
  <c r="W50" i="6"/>
  <c r="X50" i="6"/>
  <c r="M50" i="6" s="1"/>
  <c r="Y50" i="6"/>
  <c r="Z50" i="6" s="1"/>
  <c r="AA50" i="6"/>
  <c r="AB50" i="6" s="1"/>
  <c r="AC50" i="6" s="1"/>
  <c r="AE50" i="6" s="1"/>
  <c r="AF50" i="6" s="1"/>
  <c r="AG50" i="6" s="1"/>
  <c r="AD50" i="6"/>
  <c r="W51" i="6"/>
  <c r="X51" i="6" s="1"/>
  <c r="M51" i="6" s="1"/>
  <c r="Y51" i="6"/>
  <c r="Z51" i="6"/>
  <c r="AA51" i="6"/>
  <c r="AB51" i="6" s="1"/>
  <c r="AD51" i="6"/>
  <c r="AB19" i="4"/>
  <c r="AC19" i="4" s="1"/>
  <c r="AD19" i="4"/>
  <c r="AE19" i="4" s="1"/>
  <c r="AD25" i="4"/>
  <c r="AE25" i="4" s="1"/>
  <c r="AB25" i="4"/>
  <c r="AC25" i="4" s="1"/>
  <c r="AG25" i="4"/>
  <c r="Z15" i="4"/>
  <c r="AA15" i="4" s="1"/>
  <c r="K15" i="4" s="1"/>
  <c r="AB15" i="4"/>
  <c r="AC15" i="4" s="1"/>
  <c r="AD15" i="4"/>
  <c r="AE15" i="4" s="1"/>
  <c r="AG15" i="4"/>
  <c r="Z16" i="4"/>
  <c r="AA16" i="4" s="1"/>
  <c r="K16" i="4" s="1"/>
  <c r="AB16" i="4"/>
  <c r="AC16" i="4" s="1"/>
  <c r="AD16" i="4"/>
  <c r="AE16" i="4" s="1"/>
  <c r="AG16" i="4"/>
  <c r="Z17" i="4"/>
  <c r="AA17" i="4" s="1"/>
  <c r="K17" i="4" s="1"/>
  <c r="AB17" i="4"/>
  <c r="AC17" i="4" s="1"/>
  <c r="AD17" i="4"/>
  <c r="AE17" i="4" s="1"/>
  <c r="AG17" i="4"/>
  <c r="Z18" i="4"/>
  <c r="AA18" i="4" s="1"/>
  <c r="K18" i="4" s="1"/>
  <c r="AB18" i="4"/>
  <c r="AC18" i="4" s="1"/>
  <c r="AD18" i="4"/>
  <c r="AE18" i="4" s="1"/>
  <c r="AG18" i="4"/>
  <c r="Z19" i="4"/>
  <c r="AA19" i="4" s="1"/>
  <c r="K19" i="4" s="1"/>
  <c r="AG19" i="4"/>
  <c r="Z20" i="4"/>
  <c r="AA20" i="4" s="1"/>
  <c r="K20" i="4" s="1"/>
  <c r="AB20" i="4"/>
  <c r="AC20" i="4" s="1"/>
  <c r="AD20" i="4"/>
  <c r="AE20" i="4" s="1"/>
  <c r="AG20" i="4"/>
  <c r="Z21" i="4"/>
  <c r="AA21" i="4" s="1"/>
  <c r="K21" i="4" s="1"/>
  <c r="AB21" i="4"/>
  <c r="AC21" i="4" s="1"/>
  <c r="AD21" i="4"/>
  <c r="AE21" i="4" s="1"/>
  <c r="AG21" i="4"/>
  <c r="Z22" i="4"/>
  <c r="AA22" i="4" s="1"/>
  <c r="K22" i="4" s="1"/>
  <c r="AB22" i="4"/>
  <c r="AC22" i="4" s="1"/>
  <c r="AD22" i="4"/>
  <c r="AE22" i="4" s="1"/>
  <c r="AG22" i="4"/>
  <c r="Z23" i="4"/>
  <c r="AA23" i="4" s="1"/>
  <c r="K23" i="4" s="1"/>
  <c r="AB23" i="4"/>
  <c r="AC23" i="4" s="1"/>
  <c r="AD23" i="4"/>
  <c r="AE23" i="4" s="1"/>
  <c r="AG23" i="4"/>
  <c r="Z24" i="4"/>
  <c r="AA24" i="4" s="1"/>
  <c r="K24" i="4" s="1"/>
  <c r="AB24" i="4"/>
  <c r="AC24" i="4" s="1"/>
  <c r="AD24" i="4"/>
  <c r="AE24" i="4" s="1"/>
  <c r="AG24" i="4"/>
  <c r="Z25" i="4"/>
  <c r="AA25" i="4" s="1"/>
  <c r="K25" i="4" s="1"/>
  <c r="AB14" i="4"/>
  <c r="AC14" i="4" s="1"/>
  <c r="AD14" i="4"/>
  <c r="AE14" i="4" s="1"/>
  <c r="AG14" i="4"/>
  <c r="Z14" i="4"/>
  <c r="AA14" i="4" s="1"/>
  <c r="K14" i="4" s="1"/>
  <c r="R41" i="6"/>
  <c r="T41" i="6" s="1"/>
  <c r="U41" i="6" s="1"/>
  <c r="AI41" i="6"/>
  <c r="R40" i="6"/>
  <c r="T40" i="6" s="1"/>
  <c r="BP31" i="6"/>
  <c r="BQ31" i="6"/>
  <c r="BR31" i="6"/>
  <c r="AC31" i="6"/>
  <c r="AE31" i="6"/>
  <c r="AF31" i="6" s="1"/>
  <c r="AG31" i="6" s="1"/>
  <c r="R31" i="6" s="1"/>
  <c r="AC28" i="6"/>
  <c r="AE28" i="6" s="1"/>
  <c r="AF28" i="6" s="1"/>
  <c r="AG28" i="6" s="1"/>
  <c r="BP30" i="6"/>
  <c r="BQ30" i="6"/>
  <c r="BR30" i="6"/>
  <c r="AI24" i="6"/>
  <c r="AJ24" i="6" s="1"/>
  <c r="R20" i="6"/>
  <c r="BP23" i="6"/>
  <c r="BR29" i="6"/>
  <c r="BS27" i="6"/>
  <c r="AC26" i="6"/>
  <c r="AG26" i="6"/>
  <c r="AI26" i="6" s="1"/>
  <c r="AJ26" i="6" s="1"/>
  <c r="BR27" i="6"/>
  <c r="AC25" i="6"/>
  <c r="AE25" i="6"/>
  <c r="AF25" i="6" s="1"/>
  <c r="AG25" i="6" s="1"/>
  <c r="AC21" i="6"/>
  <c r="AE21" i="6" s="1"/>
  <c r="AF21" i="6" s="1"/>
  <c r="AG21" i="6"/>
  <c r="R21" i="6" s="1"/>
  <c r="AM21" i="6" s="1"/>
  <c r="AC18" i="6"/>
  <c r="AE18" i="6" s="1"/>
  <c r="AF18" i="6" s="1"/>
  <c r="AG18" i="6" s="1"/>
  <c r="AH18" i="6" s="1"/>
  <c r="AO24" i="6"/>
  <c r="AP24" i="6"/>
  <c r="AM40" i="6"/>
  <c r="U40" i="6"/>
  <c r="B40" i="6"/>
  <c r="R26" i="6"/>
  <c r="T26" i="6" s="1"/>
  <c r="U26" i="6" s="1"/>
  <c r="AH26" i="6"/>
  <c r="AH31" i="6"/>
  <c r="AI31" i="6"/>
  <c r="AJ31" i="6"/>
  <c r="AK31" i="6" s="1"/>
  <c r="AH33" i="6"/>
  <c r="AI33" i="6"/>
  <c r="AJ33" i="6" s="1"/>
  <c r="AL33" i="6" s="1"/>
  <c r="AH21" i="6"/>
  <c r="O21" i="6" s="1"/>
  <c r="AI21" i="6"/>
  <c r="AJ21" i="6" s="1"/>
  <c r="R43" i="6"/>
  <c r="N21" i="6"/>
  <c r="S21" i="6" s="1"/>
  <c r="T21" i="6"/>
  <c r="U21" i="6"/>
  <c r="AK26" i="6"/>
  <c r="AQ26" i="6" s="1"/>
  <c r="AR26" i="6" s="1"/>
  <c r="S26" i="6" s="1"/>
  <c r="O26" i="6"/>
  <c r="AK21" i="6"/>
  <c r="AQ21" i="6" s="1"/>
  <c r="AM33" i="6"/>
  <c r="T33" i="6"/>
  <c r="U33" i="6" s="1"/>
  <c r="AM31" i="6"/>
  <c r="T31" i="6"/>
  <c r="U31" i="6" s="1"/>
  <c r="N26" i="6"/>
  <c r="O33" i="6"/>
  <c r="BA23" i="6"/>
  <c r="BA30" i="6" s="1"/>
  <c r="BA31" i="6" s="1"/>
  <c r="BA32" i="6" s="1"/>
  <c r="O31" i="6"/>
  <c r="AY23" i="6"/>
  <c r="AY30" i="6" s="1"/>
  <c r="AY31" i="6" s="1"/>
  <c r="AY32" i="6" s="1"/>
  <c r="AR21" i="6"/>
  <c r="O18" i="6" l="1"/>
  <c r="AQ31" i="6"/>
  <c r="AR31" i="6" s="1"/>
  <c r="AY27" i="6" s="1"/>
  <c r="AI20" i="6"/>
  <c r="AH20" i="6"/>
  <c r="P21" i="6"/>
  <c r="AM26" i="6"/>
  <c r="AK33" i="6"/>
  <c r="AO31" i="6"/>
  <c r="AL24" i="6"/>
  <c r="N24" i="6"/>
  <c r="AJ42" i="6"/>
  <c r="BP34" i="6"/>
  <c r="BQ34" i="6"/>
  <c r="BR34" i="6"/>
  <c r="BR24" i="6"/>
  <c r="BP24" i="6"/>
  <c r="BS24" i="6"/>
  <c r="BQ24" i="6"/>
  <c r="AI25" i="6"/>
  <c r="R25" i="6"/>
  <c r="AH25" i="6"/>
  <c r="AH42" i="6"/>
  <c r="R42" i="6"/>
  <c r="R46" i="6"/>
  <c r="AH46" i="6"/>
  <c r="AC19" i="6"/>
  <c r="AE19" i="6" s="1"/>
  <c r="AF19" i="6" s="1"/>
  <c r="AG19" i="6" s="1"/>
  <c r="AM41" i="6"/>
  <c r="O41" i="6"/>
  <c r="AO26" i="6"/>
  <c r="AP26" i="6" s="1"/>
  <c r="AL26" i="6"/>
  <c r="AN26" i="6" s="1"/>
  <c r="Q26" i="6" s="1"/>
  <c r="AH50" i="6"/>
  <c r="R50" i="6"/>
  <c r="AI50" i="6"/>
  <c r="AJ50" i="6" s="1"/>
  <c r="R28" i="6"/>
  <c r="AI28" i="6"/>
  <c r="AJ28" i="6" s="1"/>
  <c r="R18" i="6"/>
  <c r="AI18" i="6"/>
  <c r="AH32" i="6"/>
  <c r="AI32" i="6"/>
  <c r="R32" i="6"/>
  <c r="AH49" i="6"/>
  <c r="R49" i="6"/>
  <c r="AI49" i="6"/>
  <c r="AJ49" i="6" s="1"/>
  <c r="AL21" i="6"/>
  <c r="AN21" i="6" s="1"/>
  <c r="Q21" i="6" s="1"/>
  <c r="AO21" i="6"/>
  <c r="AP21" i="6" s="1"/>
  <c r="AI22" i="6"/>
  <c r="AJ22" i="6" s="1"/>
  <c r="AH45" i="6"/>
  <c r="R45" i="6"/>
  <c r="AI45" i="6"/>
  <c r="R23" i="6"/>
  <c r="AH23" i="6"/>
  <c r="AI23" i="6"/>
  <c r="AJ23" i="6" s="1"/>
  <c r="AM43" i="6"/>
  <c r="T43" i="6"/>
  <c r="U43" i="6" s="1"/>
  <c r="AL31" i="6"/>
  <c r="AN31" i="6" s="1"/>
  <c r="N31" i="6"/>
  <c r="AM20" i="6"/>
  <c r="T20" i="6"/>
  <c r="U20" i="6" s="1"/>
  <c r="O22" i="6"/>
  <c r="AO33" i="6"/>
  <c r="N33" i="6"/>
  <c r="AI44" i="6"/>
  <c r="AJ44" i="6" s="1"/>
  <c r="R44" i="6"/>
  <c r="AH44" i="6"/>
  <c r="AH27" i="6"/>
  <c r="AI27" i="6"/>
  <c r="AJ27" i="6" s="1"/>
  <c r="R27" i="6"/>
  <c r="P26" i="6"/>
  <c r="AI46" i="6"/>
  <c r="AJ46" i="6" s="1"/>
  <c r="AH28" i="6"/>
  <c r="R22" i="6"/>
  <c r="AC48" i="6"/>
  <c r="AE48" i="6" s="1"/>
  <c r="AF48" i="6" s="1"/>
  <c r="AG48" i="6" s="1"/>
  <c r="BS28" i="6"/>
  <c r="BP28" i="6"/>
  <c r="BR28" i="6"/>
  <c r="BQ28" i="6"/>
  <c r="AJ45" i="6"/>
  <c r="AJ41" i="6"/>
  <c r="AK41" i="6" s="1"/>
  <c r="AH24" i="6"/>
  <c r="R24" i="6"/>
  <c r="BR23" i="6"/>
  <c r="BQ23" i="6"/>
  <c r="BP29" i="6"/>
  <c r="BS29" i="6"/>
  <c r="AC51" i="6"/>
  <c r="AE51" i="6" s="1"/>
  <c r="AF51" i="6" s="1"/>
  <c r="AG51" i="6" s="1"/>
  <c r="AJ40" i="6"/>
  <c r="BR33" i="6"/>
  <c r="BS33" i="6"/>
  <c r="BQ33" i="6"/>
  <c r="BP33" i="6"/>
  <c r="BP26" i="6"/>
  <c r="BQ26" i="6"/>
  <c r="BR26" i="6"/>
  <c r="BS26" i="6"/>
  <c r="AJ25" i="6"/>
  <c r="AI43" i="6"/>
  <c r="AJ43" i="6" s="1"/>
  <c r="AH43" i="6"/>
  <c r="BP36" i="6"/>
  <c r="BQ36" i="6"/>
  <c r="AE30" i="6"/>
  <c r="AF30" i="6" s="1"/>
  <c r="AG30" i="6" s="1"/>
  <c r="AJ18" i="6"/>
  <c r="AJ20" i="6"/>
  <c r="AH40" i="6"/>
  <c r="AC47" i="6"/>
  <c r="AE47" i="6" s="1"/>
  <c r="AF47" i="6" s="1"/>
  <c r="AG47" i="6" s="1"/>
  <c r="AJ32" i="6"/>
  <c r="BQ35" i="6"/>
  <c r="BQ32" i="6"/>
  <c r="BQ22" i="6"/>
  <c r="BS21" i="6"/>
  <c r="BQ21" i="6"/>
  <c r="AF17" i="4"/>
  <c r="AH17" i="4" s="1"/>
  <c r="AI17" i="4" s="1"/>
  <c r="AJ17" i="4" s="1"/>
  <c r="AF16" i="4"/>
  <c r="AH16" i="4" s="1"/>
  <c r="AI16" i="4" s="1"/>
  <c r="AJ16" i="4" s="1"/>
  <c r="Q16" i="4" s="1"/>
  <c r="AF14" i="4"/>
  <c r="AH14" i="4" s="1"/>
  <c r="AI14" i="4" s="1"/>
  <c r="AJ14" i="4" s="1"/>
  <c r="AF18" i="4"/>
  <c r="AH18" i="4" s="1"/>
  <c r="AI18" i="4" s="1"/>
  <c r="AJ18" i="4" s="1"/>
  <c r="AF22" i="4"/>
  <c r="AH22" i="4" s="1"/>
  <c r="AI22" i="4" s="1"/>
  <c r="AJ22" i="4" s="1"/>
  <c r="AL22" i="4" s="1"/>
  <c r="AM22" i="4" s="1"/>
  <c r="AF15" i="4"/>
  <c r="AH15" i="4" s="1"/>
  <c r="AI15" i="4" s="1"/>
  <c r="AJ15" i="4" s="1"/>
  <c r="Q15" i="4" s="1"/>
  <c r="AF20" i="4"/>
  <c r="AH20" i="4" s="1"/>
  <c r="AI20" i="4" s="1"/>
  <c r="AJ20" i="4" s="1"/>
  <c r="AF21" i="4"/>
  <c r="AH21" i="4" s="1"/>
  <c r="AI21" i="4" s="1"/>
  <c r="AJ21" i="4" s="1"/>
  <c r="AF19" i="4"/>
  <c r="AH19" i="4" s="1"/>
  <c r="AI19" i="4" s="1"/>
  <c r="AJ19" i="4" s="1"/>
  <c r="Q19" i="4" s="1"/>
  <c r="AF24" i="4"/>
  <c r="AH24" i="4" s="1"/>
  <c r="AI24" i="4" s="1"/>
  <c r="AJ24" i="4" s="1"/>
  <c r="Q24" i="4" s="1"/>
  <c r="AF25" i="4"/>
  <c r="AH25" i="4" s="1"/>
  <c r="AI25" i="4" s="1"/>
  <c r="AJ25" i="4" s="1"/>
  <c r="Q25" i="4" s="1"/>
  <c r="AF23" i="4"/>
  <c r="AH23" i="4" s="1"/>
  <c r="AI23" i="4" s="1"/>
  <c r="AJ23" i="4" s="1"/>
  <c r="Q23" i="4" s="1"/>
  <c r="N22" i="6" l="1"/>
  <c r="AL22" i="6"/>
  <c r="AO22" i="6"/>
  <c r="AP22" i="6" s="1"/>
  <c r="AK22" i="6"/>
  <c r="AY26" i="6"/>
  <c r="AY34" i="6"/>
  <c r="Q31" i="6"/>
  <c r="AN41" i="6"/>
  <c r="Q41" i="6" s="1"/>
  <c r="AQ41" i="6"/>
  <c r="AR41" i="6" s="1"/>
  <c r="AO49" i="6"/>
  <c r="AP49" i="6" s="1"/>
  <c r="AL49" i="6"/>
  <c r="N49" i="6"/>
  <c r="AO44" i="6"/>
  <c r="AP44" i="6" s="1"/>
  <c r="N44" i="6"/>
  <c r="AL44" i="6"/>
  <c r="AL27" i="6"/>
  <c r="N27" i="6"/>
  <c r="AO27" i="6"/>
  <c r="AP27" i="6" s="1"/>
  <c r="AL50" i="6"/>
  <c r="N50" i="6"/>
  <c r="AO50" i="6"/>
  <c r="AP50" i="6" s="1"/>
  <c r="R19" i="6"/>
  <c r="AH19" i="6"/>
  <c r="AI19" i="6"/>
  <c r="AJ19" i="6" s="1"/>
  <c r="AL32" i="6"/>
  <c r="N32" i="6"/>
  <c r="AO32" i="6"/>
  <c r="T25" i="6"/>
  <c r="U25" i="6" s="1"/>
  <c r="AM25" i="6"/>
  <c r="AH47" i="6"/>
  <c r="R47" i="6"/>
  <c r="AI47" i="6"/>
  <c r="AJ47" i="6" s="1"/>
  <c r="AO43" i="6"/>
  <c r="AP43" i="6" s="1"/>
  <c r="N43" i="6"/>
  <c r="AL43" i="6"/>
  <c r="BA25" i="6"/>
  <c r="AP33" i="6"/>
  <c r="BA24" i="6" s="1"/>
  <c r="O32" i="6"/>
  <c r="AZ23" i="6" s="1"/>
  <c r="AZ30" i="6" s="1"/>
  <c r="AZ31" i="6" s="1"/>
  <c r="AZ32" i="6" s="1"/>
  <c r="AK32" i="6"/>
  <c r="AM50" i="6"/>
  <c r="T50" i="6"/>
  <c r="U50" i="6" s="1"/>
  <c r="N42" i="6"/>
  <c r="AO42" i="6"/>
  <c r="AP42" i="6" s="1"/>
  <c r="AL42" i="6"/>
  <c r="N45" i="6"/>
  <c r="AO45" i="6"/>
  <c r="AP45" i="6" s="1"/>
  <c r="AL45" i="6"/>
  <c r="O40" i="6"/>
  <c r="AK40" i="6"/>
  <c r="AM27" i="6"/>
  <c r="T27" i="6"/>
  <c r="U27" i="6" s="1"/>
  <c r="N23" i="6"/>
  <c r="AL23" i="6"/>
  <c r="AO23" i="6"/>
  <c r="AP23" i="6" s="1"/>
  <c r="AK50" i="6"/>
  <c r="O50" i="6"/>
  <c r="O46" i="6"/>
  <c r="AK46" i="6"/>
  <c r="P24" i="6"/>
  <c r="O28" i="6"/>
  <c r="AK28" i="6"/>
  <c r="P33" i="6"/>
  <c r="BA21" i="6"/>
  <c r="BA28" i="6" s="1"/>
  <c r="BA33" i="6" s="1"/>
  <c r="AK20" i="6"/>
  <c r="O20" i="6"/>
  <c r="N20" i="6"/>
  <c r="AO20" i="6"/>
  <c r="AP20" i="6" s="1"/>
  <c r="AL20" i="6"/>
  <c r="N25" i="6"/>
  <c r="AO25" i="6"/>
  <c r="AP25" i="6" s="1"/>
  <c r="AL25" i="6"/>
  <c r="T24" i="6"/>
  <c r="U24" i="6" s="1"/>
  <c r="AM24" i="6"/>
  <c r="O23" i="6"/>
  <c r="AK23" i="6"/>
  <c r="T46" i="6"/>
  <c r="U46" i="6" s="1"/>
  <c r="AM46" i="6"/>
  <c r="AM32" i="6"/>
  <c r="T32" i="6"/>
  <c r="U32" i="6" s="1"/>
  <c r="AM28" i="6"/>
  <c r="T28" i="6"/>
  <c r="U28" i="6" s="1"/>
  <c r="O25" i="6"/>
  <c r="AK25" i="6"/>
  <c r="AK43" i="6"/>
  <c r="O43" i="6"/>
  <c r="N18" i="6"/>
  <c r="AO18" i="6"/>
  <c r="AP18" i="6" s="1"/>
  <c r="AL18" i="6"/>
  <c r="N40" i="6"/>
  <c r="AL40" i="6"/>
  <c r="AO40" i="6"/>
  <c r="AP40" i="6" s="1"/>
  <c r="AH48" i="6"/>
  <c r="AI48" i="6"/>
  <c r="AJ48" i="6" s="1"/>
  <c r="R48" i="6"/>
  <c r="O27" i="6"/>
  <c r="AK27" i="6"/>
  <c r="T23" i="6"/>
  <c r="U23" i="6" s="1"/>
  <c r="AM23" i="6"/>
  <c r="T49" i="6"/>
  <c r="U49" i="6" s="1"/>
  <c r="AM49" i="6"/>
  <c r="T18" i="6"/>
  <c r="U18" i="6" s="1"/>
  <c r="AM18" i="6"/>
  <c r="AY25" i="6"/>
  <c r="AP31" i="6"/>
  <c r="AY24" i="6" s="1"/>
  <c r="O45" i="6"/>
  <c r="AK45" i="6"/>
  <c r="AK24" i="6"/>
  <c r="O24" i="6"/>
  <c r="AI30" i="6"/>
  <c r="AJ30" i="6" s="1"/>
  <c r="R30" i="6"/>
  <c r="AH30" i="6"/>
  <c r="N41" i="6"/>
  <c r="AO41" i="6"/>
  <c r="AP41" i="6" s="1"/>
  <c r="AL41" i="6"/>
  <c r="AK44" i="6"/>
  <c r="O44" i="6"/>
  <c r="O49" i="6"/>
  <c r="AK49" i="6"/>
  <c r="T42" i="6"/>
  <c r="U42" i="6" s="1"/>
  <c r="AM42" i="6"/>
  <c r="AN33" i="6"/>
  <c r="AQ33" i="6"/>
  <c r="AR33" i="6" s="1"/>
  <c r="BA27" i="6" s="1"/>
  <c r="AL46" i="6"/>
  <c r="N46" i="6"/>
  <c r="AO46" i="6"/>
  <c r="AP46" i="6" s="1"/>
  <c r="AI51" i="6"/>
  <c r="AJ51" i="6" s="1"/>
  <c r="AH51" i="6"/>
  <c r="R51" i="6"/>
  <c r="AM22" i="6"/>
  <c r="T22" i="6"/>
  <c r="U22" i="6" s="1"/>
  <c r="T44" i="6"/>
  <c r="U44" i="6" s="1"/>
  <c r="AM44" i="6"/>
  <c r="AY21" i="6"/>
  <c r="AY28" i="6" s="1"/>
  <c r="AY33" i="6" s="1"/>
  <c r="S31" i="6"/>
  <c r="AY20" i="6" s="1"/>
  <c r="P31" i="6"/>
  <c r="AM45" i="6"/>
  <c r="T45" i="6"/>
  <c r="U45" i="6" s="1"/>
  <c r="AO28" i="6"/>
  <c r="AP28" i="6" s="1"/>
  <c r="AL28" i="6"/>
  <c r="N28" i="6"/>
  <c r="AK42" i="6"/>
  <c r="O42" i="6"/>
  <c r="AK18" i="6"/>
  <c r="AL16" i="4"/>
  <c r="AM16" i="4" s="1"/>
  <c r="AO16" i="4" s="1"/>
  <c r="AS16" i="4" s="1"/>
  <c r="AL14" i="4"/>
  <c r="AM14" i="4" s="1"/>
  <c r="AO14" i="4" s="1"/>
  <c r="AS14" i="4" s="1"/>
  <c r="Q14" i="4"/>
  <c r="S14" i="4" s="1"/>
  <c r="AK22" i="4"/>
  <c r="M22" i="4" s="1"/>
  <c r="Q22" i="4"/>
  <c r="S22" i="4" s="1"/>
  <c r="AK16" i="4"/>
  <c r="M16" i="4" s="1"/>
  <c r="AL21" i="4"/>
  <c r="AM21" i="4" s="1"/>
  <c r="AT21" i="4" s="1"/>
  <c r="Q21" i="4"/>
  <c r="AP21" i="4" s="1"/>
  <c r="AK17" i="4"/>
  <c r="M17" i="4" s="1"/>
  <c r="Q17" i="4"/>
  <c r="S17" i="4" s="1"/>
  <c r="AK20" i="4"/>
  <c r="M20" i="4" s="1"/>
  <c r="Q20" i="4"/>
  <c r="S20" i="4" s="1"/>
  <c r="AK18" i="4"/>
  <c r="M18" i="4" s="1"/>
  <c r="Q18" i="4"/>
  <c r="AP18" i="4" s="1"/>
  <c r="AK14" i="4"/>
  <c r="M14" i="4" s="1"/>
  <c r="W14" i="4" s="1"/>
  <c r="AL18" i="4"/>
  <c r="AM18" i="4" s="1"/>
  <c r="AT18" i="4" s="1"/>
  <c r="AK21" i="4"/>
  <c r="M21" i="4" s="1"/>
  <c r="AL20" i="4"/>
  <c r="AM20" i="4" s="1"/>
  <c r="AO20" i="4" s="1"/>
  <c r="AS20" i="4" s="1"/>
  <c r="AL15" i="4"/>
  <c r="AM15" i="4" s="1"/>
  <c r="AO15" i="4" s="1"/>
  <c r="AK15" i="4"/>
  <c r="AL17" i="4"/>
  <c r="AM17" i="4" s="1"/>
  <c r="AO17" i="4" s="1"/>
  <c r="AS17" i="4" s="1"/>
  <c r="S15" i="4"/>
  <c r="AP15" i="4"/>
  <c r="AK23" i="4"/>
  <c r="AL23" i="4"/>
  <c r="AM23" i="4" s="1"/>
  <c r="AL25" i="4"/>
  <c r="AM25" i="4" s="1"/>
  <c r="AK25" i="4"/>
  <c r="AK24" i="4"/>
  <c r="AL24" i="4"/>
  <c r="AM24" i="4" s="1"/>
  <c r="AL19" i="4"/>
  <c r="AM19" i="4" s="1"/>
  <c r="AK19" i="4"/>
  <c r="AP16" i="4"/>
  <c r="S16" i="4"/>
  <c r="L22" i="4"/>
  <c r="AO22" i="4"/>
  <c r="AS22" i="4" s="1"/>
  <c r="AT22" i="4"/>
  <c r="W20" i="4" l="1"/>
  <c r="W18" i="4"/>
  <c r="W16" i="4"/>
  <c r="W17" i="4"/>
  <c r="W22" i="4"/>
  <c r="W21" i="4"/>
  <c r="AS15" i="4"/>
  <c r="AP22" i="4"/>
  <c r="AP14" i="4"/>
  <c r="L16" i="4"/>
  <c r="AN16" i="4"/>
  <c r="AV16" i="4" s="1"/>
  <c r="AY22" i="4"/>
  <c r="T22" i="4"/>
  <c r="AT16" i="4"/>
  <c r="AU16" i="4" s="1"/>
  <c r="AN42" i="6"/>
  <c r="Q42" i="6" s="1"/>
  <c r="AQ42" i="6"/>
  <c r="AR42" i="6" s="1"/>
  <c r="P25" i="6"/>
  <c r="AQ32" i="6"/>
  <c r="AR32" i="6" s="1"/>
  <c r="AZ27" i="6" s="1"/>
  <c r="AN32" i="6"/>
  <c r="AK19" i="6"/>
  <c r="O19" i="6"/>
  <c r="P28" i="6"/>
  <c r="P46" i="6"/>
  <c r="AK48" i="6"/>
  <c r="O48" i="6"/>
  <c r="AQ43" i="6"/>
  <c r="AR43" i="6" s="1"/>
  <c r="S43" i="6" s="1"/>
  <c r="AN43" i="6"/>
  <c r="Q43" i="6" s="1"/>
  <c r="AN28" i="6"/>
  <c r="Q28" i="6" s="1"/>
  <c r="AQ28" i="6"/>
  <c r="AR28" i="6" s="1"/>
  <c r="S28" i="6" s="1"/>
  <c r="AK47" i="6"/>
  <c r="O47" i="6"/>
  <c r="AM19" i="6"/>
  <c r="T19" i="6"/>
  <c r="U19" i="6" s="1"/>
  <c r="P44" i="6"/>
  <c r="S44" i="6"/>
  <c r="P18" i="6"/>
  <c r="AL30" i="6"/>
  <c r="AO30" i="6"/>
  <c r="N30" i="6"/>
  <c r="AL48" i="6"/>
  <c r="N48" i="6"/>
  <c r="AO48" i="6"/>
  <c r="AP48" i="6" s="1"/>
  <c r="AQ50" i="6"/>
  <c r="AR50" i="6" s="1"/>
  <c r="AN50" i="6"/>
  <c r="Q50" i="6" s="1"/>
  <c r="T47" i="6"/>
  <c r="U47" i="6" s="1"/>
  <c r="AM47" i="6"/>
  <c r="S18" i="4"/>
  <c r="AN44" i="6"/>
  <c r="Q44" i="6" s="1"/>
  <c r="AQ44" i="6"/>
  <c r="AR44" i="6" s="1"/>
  <c r="AQ24" i="6"/>
  <c r="AR24" i="6" s="1"/>
  <c r="S24" i="6" s="1"/>
  <c r="AN24" i="6"/>
  <c r="Q24" i="6" s="1"/>
  <c r="AN25" i="6"/>
  <c r="Q25" i="6" s="1"/>
  <c r="AQ25" i="6"/>
  <c r="AR25" i="6" s="1"/>
  <c r="S25" i="6" s="1"/>
  <c r="AN23" i="6"/>
  <c r="Q23" i="6" s="1"/>
  <c r="AQ23" i="6"/>
  <c r="AR23" i="6" s="1"/>
  <c r="P45" i="6"/>
  <c r="BH25" i="6"/>
  <c r="BH30" i="6"/>
  <c r="CE37" i="6"/>
  <c r="CE35" i="6"/>
  <c r="BH36" i="6"/>
  <c r="BH24" i="6"/>
  <c r="BH37" i="6"/>
  <c r="BH31" i="6"/>
  <c r="BH38" i="6"/>
  <c r="CE42" i="6"/>
  <c r="CE28" i="6"/>
  <c r="CE29" i="6"/>
  <c r="BH41" i="6"/>
  <c r="CE38" i="6"/>
  <c r="BH29" i="6"/>
  <c r="BH32" i="6"/>
  <c r="CE30" i="6"/>
  <c r="CE39" i="6"/>
  <c r="BH28" i="6"/>
  <c r="CE34" i="6"/>
  <c r="BH34" i="6"/>
  <c r="CE31" i="6"/>
  <c r="BH39" i="6"/>
  <c r="CE32" i="6"/>
  <c r="CE40" i="6"/>
  <c r="BH33" i="6"/>
  <c r="BH40" i="6"/>
  <c r="CE33" i="6"/>
  <c r="BH27" i="6"/>
  <c r="CE36" i="6"/>
  <c r="BH35" i="6"/>
  <c r="BH26" i="6"/>
  <c r="CE41" i="6"/>
  <c r="CE27" i="6"/>
  <c r="BK28" i="6"/>
  <c r="BK29" i="6"/>
  <c r="BK30" i="6"/>
  <c r="BK31" i="6"/>
  <c r="BK34" i="6"/>
  <c r="BK25" i="6"/>
  <c r="BK27" i="6"/>
  <c r="BK33" i="6"/>
  <c r="BK32" i="6"/>
  <c r="BK35" i="6"/>
  <c r="BK36" i="6"/>
  <c r="BK26" i="6"/>
  <c r="AO51" i="6"/>
  <c r="AP51" i="6" s="1"/>
  <c r="AL51" i="6"/>
  <c r="N51" i="6"/>
  <c r="T30" i="6"/>
  <c r="U30" i="6" s="1"/>
  <c r="AM30" i="6"/>
  <c r="AM48" i="6"/>
  <c r="T48" i="6"/>
  <c r="U48" i="6" s="1"/>
  <c r="AO47" i="6"/>
  <c r="AP47" i="6" s="1"/>
  <c r="AL47" i="6"/>
  <c r="N47" i="6"/>
  <c r="P20" i="6"/>
  <c r="AQ22" i="6"/>
  <c r="AR22" i="6" s="1"/>
  <c r="AN22" i="6"/>
  <c r="Q22" i="6" s="1"/>
  <c r="BA26" i="6"/>
  <c r="Q33" i="6"/>
  <c r="BA34" i="6"/>
  <c r="P40" i="6"/>
  <c r="S40" i="6"/>
  <c r="AP32" i="6"/>
  <c r="AZ24" i="6" s="1"/>
  <c r="AZ25" i="6"/>
  <c r="AO19" i="6"/>
  <c r="AP19" i="6" s="1"/>
  <c r="AL19" i="6"/>
  <c r="N19" i="6"/>
  <c r="AN45" i="6"/>
  <c r="Q45" i="6" s="1"/>
  <c r="AQ45" i="6"/>
  <c r="AR45" i="6" s="1"/>
  <c r="S45" i="6" s="1"/>
  <c r="P50" i="6"/>
  <c r="S50" i="6"/>
  <c r="T51" i="6"/>
  <c r="U51" i="6" s="1"/>
  <c r="AM51" i="6"/>
  <c r="S41" i="6"/>
  <c r="P41" i="6"/>
  <c r="BF28" i="6"/>
  <c r="CC34" i="6"/>
  <c r="BF33" i="6"/>
  <c r="CC33" i="6"/>
  <c r="BF30" i="6"/>
  <c r="CC35" i="6"/>
  <c r="BF35" i="6"/>
  <c r="CC36" i="6"/>
  <c r="BF31" i="6"/>
  <c r="BF37" i="6"/>
  <c r="BF36" i="6"/>
  <c r="CC37" i="6"/>
  <c r="CC30" i="6"/>
  <c r="BF39" i="6"/>
  <c r="BF32" i="6"/>
  <c r="BF41" i="6"/>
  <c r="BF34" i="6"/>
  <c r="CC32" i="6"/>
  <c r="CC41" i="6"/>
  <c r="BF27" i="6"/>
  <c r="CC43" i="6"/>
  <c r="CC28" i="6"/>
  <c r="CC38" i="6"/>
  <c r="BF38" i="6"/>
  <c r="CC39" i="6"/>
  <c r="BF40" i="6"/>
  <c r="CC31" i="6"/>
  <c r="CC27" i="6"/>
  <c r="CC40" i="6"/>
  <c r="BF43" i="6"/>
  <c r="BF42" i="6"/>
  <c r="CC42" i="6"/>
  <c r="CC29" i="6"/>
  <c r="BF29" i="6"/>
  <c r="AQ27" i="6"/>
  <c r="AR27" i="6" s="1"/>
  <c r="AN27" i="6"/>
  <c r="Q27" i="6" s="1"/>
  <c r="AQ20" i="6"/>
  <c r="AR20" i="6" s="1"/>
  <c r="S20" i="6" s="1"/>
  <c r="AN20" i="6"/>
  <c r="Q20" i="6" s="1"/>
  <c r="AN46" i="6"/>
  <c r="Q46" i="6" s="1"/>
  <c r="AQ46" i="6"/>
  <c r="AR46" i="6" s="1"/>
  <c r="S46" i="6" s="1"/>
  <c r="S42" i="6"/>
  <c r="P42" i="6"/>
  <c r="P43" i="6"/>
  <c r="P32" i="6"/>
  <c r="AZ21" i="6"/>
  <c r="AZ28" i="6" s="1"/>
  <c r="AZ33" i="6" s="1"/>
  <c r="S32" i="6"/>
  <c r="AZ20" i="6" s="1"/>
  <c r="AQ49" i="6"/>
  <c r="AR49" i="6" s="1"/>
  <c r="S49" i="6" s="1"/>
  <c r="AN49" i="6"/>
  <c r="Q49" i="6" s="1"/>
  <c r="P23" i="6"/>
  <c r="S23" i="6"/>
  <c r="P49" i="6"/>
  <c r="AQ18" i="6"/>
  <c r="AR18" i="6" s="1"/>
  <c r="S18" i="6" s="1"/>
  <c r="AN18" i="6"/>
  <c r="Q18" i="6" s="1"/>
  <c r="O51" i="6"/>
  <c r="AK51" i="6"/>
  <c r="O30" i="6"/>
  <c r="AX23" i="6" s="1"/>
  <c r="AX30" i="6" s="1"/>
  <c r="AX31" i="6" s="1"/>
  <c r="AX32" i="6" s="1"/>
  <c r="AK30" i="6"/>
  <c r="S33" i="6"/>
  <c r="BA20" i="6" s="1"/>
  <c r="AQ40" i="6"/>
  <c r="AR40" i="6" s="1"/>
  <c r="AN40" i="6"/>
  <c r="Q40" i="6" s="1"/>
  <c r="S27" i="6"/>
  <c r="P27" i="6"/>
  <c r="P22" i="6"/>
  <c r="S22" i="6"/>
  <c r="P16" i="4"/>
  <c r="P21" i="4"/>
  <c r="P22" i="4"/>
  <c r="P20" i="4"/>
  <c r="P18" i="4"/>
  <c r="P17" i="4"/>
  <c r="P14" i="4"/>
  <c r="AO21" i="4"/>
  <c r="AS21" i="4" s="1"/>
  <c r="AN22" i="4"/>
  <c r="AV22" i="4" s="1"/>
  <c r="AO18" i="4"/>
  <c r="AN14" i="4"/>
  <c r="AV14" i="4" s="1"/>
  <c r="L18" i="4"/>
  <c r="L21" i="4"/>
  <c r="AP20" i="4"/>
  <c r="AN21" i="4"/>
  <c r="AN18" i="4"/>
  <c r="AT15" i="4"/>
  <c r="AU15" i="4" s="1"/>
  <c r="AN15" i="4"/>
  <c r="AV15" i="4" s="1"/>
  <c r="L14" i="4"/>
  <c r="AT14" i="4"/>
  <c r="AU14" i="4" s="1"/>
  <c r="AT20" i="4"/>
  <c r="AU20" i="4" s="1"/>
  <c r="M15" i="4"/>
  <c r="L15" i="4"/>
  <c r="L20" i="4"/>
  <c r="AN20" i="4"/>
  <c r="L17" i="4"/>
  <c r="S21" i="4"/>
  <c r="AP17" i="4"/>
  <c r="AN17" i="4"/>
  <c r="AV17" i="4" s="1"/>
  <c r="AT17" i="4"/>
  <c r="AU17" i="4" s="1"/>
  <c r="S24" i="4"/>
  <c r="AP24" i="4"/>
  <c r="AO23" i="4"/>
  <c r="AS23" i="4" s="1"/>
  <c r="L23" i="4"/>
  <c r="AT23" i="4"/>
  <c r="N22" i="4"/>
  <c r="AN19" i="4"/>
  <c r="M19" i="4"/>
  <c r="AO24" i="4"/>
  <c r="AS24" i="4" s="1"/>
  <c r="L24" i="4"/>
  <c r="AT24" i="4"/>
  <c r="AU21" i="4"/>
  <c r="N16" i="4"/>
  <c r="AO19" i="4"/>
  <c r="L19" i="4"/>
  <c r="AT19" i="4"/>
  <c r="M24" i="4"/>
  <c r="AN24" i="4"/>
  <c r="AQ16" i="4"/>
  <c r="O16" i="4" s="1"/>
  <c r="Y16" i="4" s="1"/>
  <c r="AO25" i="4"/>
  <c r="AS25" i="4" s="1"/>
  <c r="L25" i="4"/>
  <c r="AT25" i="4"/>
  <c r="M23" i="4"/>
  <c r="AN23" i="4"/>
  <c r="AP19" i="4"/>
  <c r="S19" i="4"/>
  <c r="AN25" i="4"/>
  <c r="M25" i="4"/>
  <c r="AP23" i="4"/>
  <c r="S23" i="4"/>
  <c r="AU22" i="4"/>
  <c r="AU18" i="4"/>
  <c r="AP25" i="4"/>
  <c r="S25" i="4"/>
  <c r="W25" i="4" l="1"/>
  <c r="W19" i="4"/>
  <c r="W23" i="4"/>
  <c r="W15" i="4"/>
  <c r="W24" i="4"/>
  <c r="AR16" i="4"/>
  <c r="T15" i="4"/>
  <c r="AY15" i="4"/>
  <c r="AY19" i="4"/>
  <c r="T19" i="4"/>
  <c r="T21" i="4"/>
  <c r="AY21" i="4"/>
  <c r="AY20" i="4"/>
  <c r="T20" i="4"/>
  <c r="T18" i="4"/>
  <c r="AY18" i="4"/>
  <c r="AY23" i="4"/>
  <c r="T23" i="4"/>
  <c r="AY17" i="4"/>
  <c r="T17" i="4"/>
  <c r="T14" i="4"/>
  <c r="AY14" i="4"/>
  <c r="T24" i="4"/>
  <c r="AY24" i="4"/>
  <c r="T25" i="4"/>
  <c r="AY25" i="4"/>
  <c r="T16" i="4"/>
  <c r="AY16" i="4"/>
  <c r="AN19" i="6"/>
  <c r="Q19" i="6" s="1"/>
  <c r="AQ19" i="6"/>
  <c r="AR19" i="6" s="1"/>
  <c r="AZ26" i="6"/>
  <c r="Q32" i="6"/>
  <c r="AZ34" i="6"/>
  <c r="AQ51" i="6"/>
  <c r="AR51" i="6" s="1"/>
  <c r="AN51" i="6"/>
  <c r="Q51" i="6" s="1"/>
  <c r="S47" i="6"/>
  <c r="P47" i="6"/>
  <c r="S19" i="6"/>
  <c r="P19" i="6"/>
  <c r="P30" i="6"/>
  <c r="AX21" i="6"/>
  <c r="AX28" i="6" s="1"/>
  <c r="AX33" i="6" s="1"/>
  <c r="AQ48" i="6"/>
  <c r="AR48" i="6" s="1"/>
  <c r="AN48" i="6"/>
  <c r="Q48" i="6" s="1"/>
  <c r="AQ14" i="4"/>
  <c r="O14" i="4" s="1"/>
  <c r="Y14" i="4" s="1"/>
  <c r="BM28" i="6"/>
  <c r="BM30" i="6"/>
  <c r="BM31" i="6"/>
  <c r="BM26" i="6"/>
  <c r="BM32" i="6"/>
  <c r="BM33" i="6"/>
  <c r="BM27" i="6"/>
  <c r="BM29" i="6"/>
  <c r="BM34" i="6"/>
  <c r="AX25" i="6"/>
  <c r="AP30" i="6"/>
  <c r="AX24" i="6" s="1"/>
  <c r="AQ20" i="4"/>
  <c r="O20" i="4" s="1"/>
  <c r="Y20" i="4" s="1"/>
  <c r="AN47" i="6"/>
  <c r="Q47" i="6" s="1"/>
  <c r="AQ47" i="6"/>
  <c r="AR47" i="6" s="1"/>
  <c r="P51" i="6"/>
  <c r="S51" i="6"/>
  <c r="AQ30" i="6"/>
  <c r="AR30" i="6" s="1"/>
  <c r="AX27" i="6" s="1"/>
  <c r="AN30" i="6"/>
  <c r="P48" i="6"/>
  <c r="S48" i="6"/>
  <c r="BG28" i="6"/>
  <c r="CD37" i="6"/>
  <c r="BG39" i="6"/>
  <c r="BG42" i="6"/>
  <c r="BG25" i="6"/>
  <c r="BG30" i="6"/>
  <c r="BG38" i="6"/>
  <c r="CD39" i="6"/>
  <c r="CD43" i="6"/>
  <c r="BG26" i="6"/>
  <c r="BG31" i="6"/>
  <c r="CD28" i="6"/>
  <c r="BG40" i="6"/>
  <c r="BG41" i="6"/>
  <c r="CD32" i="6"/>
  <c r="CD30" i="6"/>
  <c r="CD34" i="6"/>
  <c r="BG35" i="6"/>
  <c r="BG33" i="6"/>
  <c r="CD35" i="6"/>
  <c r="CD31" i="6"/>
  <c r="BG29" i="6"/>
  <c r="CD38" i="6"/>
  <c r="CD27" i="6"/>
  <c r="BG32" i="6"/>
  <c r="BG27" i="6"/>
  <c r="CD40" i="6"/>
  <c r="BG34" i="6"/>
  <c r="BG36" i="6"/>
  <c r="CD29" i="6"/>
  <c r="CD33" i="6"/>
  <c r="CD41" i="6"/>
  <c r="CD36" i="6"/>
  <c r="CD42" i="6"/>
  <c r="BG37" i="6"/>
  <c r="AQ22" i="4"/>
  <c r="O22" i="4" s="1"/>
  <c r="Y22" i="4" s="1"/>
  <c r="P25" i="4"/>
  <c r="N17" i="4"/>
  <c r="P23" i="4"/>
  <c r="N20" i="4"/>
  <c r="P19" i="4"/>
  <c r="N18" i="4"/>
  <c r="P15" i="4"/>
  <c r="N15" i="4"/>
  <c r="N14" i="4"/>
  <c r="P24" i="4"/>
  <c r="AQ21" i="4"/>
  <c r="O21" i="4" s="1"/>
  <c r="Y21" i="4" s="1"/>
  <c r="AV20" i="4"/>
  <c r="AW20" i="4" s="1"/>
  <c r="AQ18" i="4"/>
  <c r="O18" i="4" s="1"/>
  <c r="Y18" i="4" s="1"/>
  <c r="AV18" i="4"/>
  <c r="AW18" i="4" s="1"/>
  <c r="R18" i="4" s="1"/>
  <c r="AV21" i="4"/>
  <c r="AW21" i="4" s="1"/>
  <c r="R21" i="4" s="1"/>
  <c r="AQ15" i="4"/>
  <c r="O15" i="4" s="1"/>
  <c r="Y15" i="4" s="1"/>
  <c r="AQ17" i="4"/>
  <c r="O17" i="4" s="1"/>
  <c r="Y17" i="4" s="1"/>
  <c r="N21" i="4"/>
  <c r="AV25" i="4"/>
  <c r="AQ25" i="4"/>
  <c r="O25" i="4" s="1"/>
  <c r="Y25" i="4" s="1"/>
  <c r="AU24" i="4"/>
  <c r="AW14" i="4"/>
  <c r="AW22" i="4"/>
  <c r="R22" i="4" s="1"/>
  <c r="AW16" i="4"/>
  <c r="R16" i="4" s="1"/>
  <c r="AU19" i="4"/>
  <c r="N24" i="4"/>
  <c r="AU23" i="4"/>
  <c r="AU25" i="4"/>
  <c r="N19" i="4"/>
  <c r="AV19" i="4"/>
  <c r="AQ19" i="4"/>
  <c r="O19" i="4" s="1"/>
  <c r="Y19" i="4" s="1"/>
  <c r="N23" i="4"/>
  <c r="AW17" i="4"/>
  <c r="R17" i="4" s="1"/>
  <c r="AW15" i="4"/>
  <c r="R15" i="4" s="1"/>
  <c r="AV23" i="4"/>
  <c r="AQ23" i="4"/>
  <c r="O23" i="4" s="1"/>
  <c r="Y23" i="4" s="1"/>
  <c r="N25" i="4"/>
  <c r="AQ24" i="4"/>
  <c r="O24" i="4" s="1"/>
  <c r="Y24" i="4" s="1"/>
  <c r="AV24" i="4"/>
  <c r="AR14" i="4" l="1"/>
  <c r="AR23" i="4"/>
  <c r="AR21" i="4"/>
  <c r="AR19" i="4"/>
  <c r="AV26" i="4"/>
  <c r="AR25" i="4"/>
  <c r="AR17" i="4"/>
  <c r="AR15" i="4"/>
  <c r="AR20" i="4"/>
  <c r="AR22" i="4"/>
  <c r="AR24" i="4"/>
  <c r="AR18" i="4"/>
  <c r="R14" i="4"/>
  <c r="Q30" i="6"/>
  <c r="AX34" i="6"/>
  <c r="AX26" i="6"/>
  <c r="BE31" i="6"/>
  <c r="CB36" i="6"/>
  <c r="BE37" i="6"/>
  <c r="BE43" i="6"/>
  <c r="BE33" i="6"/>
  <c r="CB29" i="6"/>
  <c r="CB37" i="6"/>
  <c r="CB38" i="6"/>
  <c r="BE44" i="6"/>
  <c r="CB30" i="6"/>
  <c r="BE35" i="6"/>
  <c r="BE38" i="6"/>
  <c r="BE39" i="6"/>
  <c r="BE42" i="6"/>
  <c r="BE32" i="6"/>
  <c r="CB27" i="6"/>
  <c r="CB41" i="6"/>
  <c r="BE40" i="6"/>
  <c r="BE28" i="6"/>
  <c r="CB35" i="6"/>
  <c r="BE29" i="6"/>
  <c r="BE36" i="6"/>
  <c r="CB39" i="6"/>
  <c r="CB40" i="6"/>
  <c r="CB43" i="6"/>
  <c r="CB28" i="6"/>
  <c r="BE34" i="6"/>
  <c r="BE30" i="6"/>
  <c r="CB32" i="6"/>
  <c r="CB34" i="6"/>
  <c r="CB33" i="6"/>
  <c r="CB42" i="6"/>
  <c r="CB31" i="6"/>
  <c r="BE41" i="6"/>
  <c r="S30" i="6"/>
  <c r="AX20" i="6" s="1"/>
  <c r="BL30" i="6"/>
  <c r="BL31" i="6"/>
  <c r="BL26" i="6"/>
  <c r="BL25" i="6"/>
  <c r="BL28" i="6"/>
  <c r="BL32" i="6"/>
  <c r="BL27" i="6"/>
  <c r="BL24" i="6"/>
  <c r="BL29" i="6"/>
  <c r="R20" i="4"/>
  <c r="AW19" i="4"/>
  <c r="R19" i="4" s="1"/>
  <c r="AW24" i="4"/>
  <c r="AW23" i="4"/>
  <c r="R23" i="4" s="1"/>
  <c r="AW25" i="4"/>
  <c r="R25" i="4" s="1"/>
  <c r="AW26" i="4" l="1"/>
  <c r="BJ36" i="6"/>
  <c r="BJ28" i="6"/>
  <c r="BJ31" i="6"/>
  <c r="BJ32" i="6"/>
  <c r="BJ30" i="6"/>
  <c r="BJ35" i="6"/>
  <c r="BJ34" i="6"/>
  <c r="BJ26" i="6"/>
  <c r="BJ27" i="6"/>
  <c r="BJ33" i="6"/>
  <c r="BJ29" i="6"/>
  <c r="BJ37" i="6"/>
  <c r="R24" i="4"/>
</calcChain>
</file>

<file path=xl/sharedStrings.xml><?xml version="1.0" encoding="utf-8"?>
<sst xmlns="http://schemas.openxmlformats.org/spreadsheetml/2006/main" count="493" uniqueCount="203">
  <si>
    <t>SAXTON-RAWLS EQUATION SOLUTIONS FOR SOIL WATER CHARACTERISTICS</t>
  </si>
  <si>
    <t>Equations developed by Dr. Keith Saxton, 10 -15-04: Added 33 Comp, gravel, salinity</t>
  </si>
  <si>
    <t>01-15-05:  Added 1500 and Bubb. Comp.</t>
  </si>
  <si>
    <t>Sat</t>
  </si>
  <si>
    <t>EXAMPLE TENSION AND UNSATURATED CONDUCTIVITY GRAPHS TO FAR RIGHT</t>
  </si>
  <si>
    <t>Equations derived from Rawls A-Only horiz 2003 NRCS data</t>
  </si>
  <si>
    <t>Tension=A*Moist^-B</t>
  </si>
  <si>
    <t>Tension=A*Moist^-B + Salinity</t>
  </si>
  <si>
    <t>SOIL: &gt;</t>
  </si>
  <si>
    <t>Moist.</t>
  </si>
  <si>
    <t>INPUTS</t>
  </si>
  <si>
    <t>OUTPUTS</t>
  </si>
  <si>
    <t>MODEL COMPUTATIONS</t>
  </si>
  <si>
    <t>Adj.</t>
  </si>
  <si>
    <t>Saturation</t>
  </si>
  <si>
    <t>Density</t>
  </si>
  <si>
    <t>Porosity</t>
  </si>
  <si>
    <t>Moist 33</t>
  </si>
  <si>
    <t>Porosity-</t>
  </si>
  <si>
    <t xml:space="preserve">Gravel </t>
  </si>
  <si>
    <t xml:space="preserve">Tension </t>
  </si>
  <si>
    <t>Unsaturated Cond. SiL(20,20, OM=2.5)</t>
  </si>
  <si>
    <t>Total Smpls:&gt;</t>
  </si>
  <si>
    <t>Gravels</t>
  </si>
  <si>
    <t>Salinity</t>
  </si>
  <si>
    <t>1500 kPa</t>
  </si>
  <si>
    <t>33 kPa</t>
  </si>
  <si>
    <t>0 kPa</t>
  </si>
  <si>
    <t>Plant</t>
  </si>
  <si>
    <t>Matric Den.</t>
  </si>
  <si>
    <t>10 kPa</t>
  </si>
  <si>
    <t xml:space="preserve">Bulk </t>
  </si>
  <si>
    <t>Pred</t>
  </si>
  <si>
    <t>Adj. Pred</t>
  </si>
  <si>
    <t>poros-</t>
  </si>
  <si>
    <t>por-33+</t>
  </si>
  <si>
    <t>Sand Adj.</t>
  </si>
  <si>
    <t>w/om</t>
  </si>
  <si>
    <t>w/comp</t>
  </si>
  <si>
    <t>OM +</t>
  </si>
  <si>
    <t>change by</t>
  </si>
  <si>
    <t>w/comp.</t>
  </si>
  <si>
    <t>Lambda</t>
  </si>
  <si>
    <t>Red. Of</t>
  </si>
  <si>
    <t>Sat Cond.</t>
  </si>
  <si>
    <t>"B"</t>
  </si>
  <si>
    <t>"A"</t>
  </si>
  <si>
    <t>Bubbling</t>
  </si>
  <si>
    <t>"B"=</t>
  </si>
  <si>
    <t>Class No.</t>
  </si>
  <si>
    <t>Texture</t>
  </si>
  <si>
    <t>Number</t>
  </si>
  <si>
    <t>%</t>
  </si>
  <si>
    <t>Factor</t>
  </si>
  <si>
    <t>%w,g/cc</t>
  </si>
  <si>
    <t>dS/m</t>
  </si>
  <si>
    <t>Wilt Pt.</t>
  </si>
  <si>
    <t>Field Cap</t>
  </si>
  <si>
    <t xml:space="preserve">Avail </t>
  </si>
  <si>
    <t>Sat. Cond.</t>
  </si>
  <si>
    <t>%v</t>
  </si>
  <si>
    <t>Moist 1500</t>
  </si>
  <si>
    <t>Moist. 33</t>
  </si>
  <si>
    <t>Compact</t>
  </si>
  <si>
    <t>Comp</t>
  </si>
  <si>
    <t>mm/hr</t>
  </si>
  <si>
    <t>Press.</t>
  </si>
  <si>
    <t>Press., Adj.</t>
  </si>
  <si>
    <t>Clay</t>
  </si>
  <si>
    <t>Gravel Summary</t>
  </si>
  <si>
    <t>Samples</t>
  </si>
  <si>
    <t>Texture Class Summary of A Horizon Data</t>
  </si>
  <si>
    <t>g/cc</t>
  </si>
  <si>
    <t>#1, %v</t>
  </si>
  <si>
    <t>Adj, %v</t>
  </si>
  <si>
    <t>#1</t>
  </si>
  <si>
    <t>kPa</t>
  </si>
  <si>
    <t>DF=&gt;</t>
  </si>
  <si>
    <t>S=20, C=20, OM=2.5</t>
  </si>
  <si>
    <t>SOIL  FOR GRAPHS: &gt;</t>
  </si>
  <si>
    <t>Moist/Sat</t>
  </si>
  <si>
    <t>Cond, mm/hr</t>
  </si>
  <si>
    <t>%w</t>
  </si>
  <si>
    <t>Blk. Den</t>
  </si>
  <si>
    <t>Ks</t>
  </si>
  <si>
    <t>Sat. Moist.&gt;</t>
  </si>
  <si>
    <t>"A" Value</t>
  </si>
  <si>
    <t>"B" Value</t>
  </si>
  <si>
    <t>Sat Cond., mm/hr</t>
  </si>
  <si>
    <t>Bubling Pres, kPa</t>
  </si>
  <si>
    <t>Available Moist (PAW)</t>
  </si>
  <si>
    <t>Salinity ECU:</t>
  </si>
  <si>
    <t>Selected for Graphing/Examples: &gt;</t>
  </si>
  <si>
    <t>Matric. Den.</t>
  </si>
  <si>
    <t>Den/2.65</t>
  </si>
  <si>
    <t>Gravel, %v</t>
  </si>
  <si>
    <t>PAW-Bulk</t>
  </si>
  <si>
    <t>Sat Cond, Blk.</t>
  </si>
  <si>
    <t>Not Calc</t>
  </si>
  <si>
    <t>S</t>
  </si>
  <si>
    <t>C</t>
  </si>
  <si>
    <t>Meas. Den.</t>
  </si>
  <si>
    <t>Sand</t>
  </si>
  <si>
    <t>Org Mat</t>
  </si>
  <si>
    <t>DF</t>
  </si>
  <si>
    <t>Gravel</t>
  </si>
  <si>
    <t>OM</t>
  </si>
  <si>
    <t>Eample Data:  &gt;&gt;</t>
  </si>
  <si>
    <t>Tension &amp; Cond. Graphs</t>
  </si>
  <si>
    <t>Den</t>
  </si>
  <si>
    <t>S-L</t>
  </si>
  <si>
    <t>Si-L</t>
  </si>
  <si>
    <t>C-L</t>
  </si>
  <si>
    <t>Si-C Loam</t>
  </si>
  <si>
    <t>OM Effect Calcs:</t>
  </si>
  <si>
    <t>OM=&gt;</t>
  </si>
  <si>
    <t>Available Moist</t>
  </si>
  <si>
    <t>Copy to Col. "I"</t>
  </si>
  <si>
    <t>Unsaturated Conductivity</t>
  </si>
  <si>
    <t>(1.0 = Normal)</t>
  </si>
  <si>
    <t>Avg.</t>
  </si>
  <si>
    <t>Loamy Sand</t>
  </si>
  <si>
    <t>Sandy Loam</t>
  </si>
  <si>
    <t xml:space="preserve">Loam </t>
  </si>
  <si>
    <t>Silty Loam</t>
  </si>
  <si>
    <t xml:space="preserve">Silt </t>
  </si>
  <si>
    <t>Sandy Caly Loam</t>
  </si>
  <si>
    <t>Clay Loam</t>
  </si>
  <si>
    <t>Silty Clay Loam</t>
  </si>
  <si>
    <t xml:space="preserve">silty Clay  </t>
  </si>
  <si>
    <t xml:space="preserve">Clay  </t>
  </si>
  <si>
    <t>Dec. %</t>
  </si>
  <si>
    <t>Org matter</t>
  </si>
  <si>
    <t>Optional Inputs</t>
  </si>
  <si>
    <t>TENSION AND UNSATURATED CONDUCTIVITY GRAPHS EXAMPLES</t>
  </si>
  <si>
    <t>For additional Calculations:  Coplete Columns 40F-J with data.  Copy line 40M-AR. Paste equations to all data lines data.</t>
  </si>
  <si>
    <t>Computed. DF</t>
  </si>
  <si>
    <t>Enter</t>
  </si>
  <si>
    <t xml:space="preserve">Sa </t>
  </si>
  <si>
    <t>LSa</t>
  </si>
  <si>
    <t xml:space="preserve">SaL </t>
  </si>
  <si>
    <t xml:space="preserve">L </t>
  </si>
  <si>
    <t xml:space="preserve">SiL </t>
  </si>
  <si>
    <t>Si</t>
  </si>
  <si>
    <t xml:space="preserve">SaCL </t>
  </si>
  <si>
    <t xml:space="preserve">CL </t>
  </si>
  <si>
    <t xml:space="preserve">SiCL </t>
  </si>
  <si>
    <t xml:space="preserve">SiC </t>
  </si>
  <si>
    <t xml:space="preserve">SaC </t>
  </si>
  <si>
    <t xml:space="preserve">C </t>
  </si>
  <si>
    <t>&lt;33 kPa</t>
  </si>
  <si>
    <t>&gt;Air Entry</t>
  </si>
  <si>
    <t>10-02-05:  Revised Moist33 Compaction to 0.2*Sat Compaction</t>
  </si>
  <si>
    <t>suction</t>
  </si>
  <si>
    <t>mm</t>
  </si>
  <si>
    <t>weting front</t>
  </si>
  <si>
    <t>Avail Water</t>
  </si>
  <si>
    <t>Bulk</t>
  </si>
  <si>
    <t>31-08-18:  Added wetting front suction by Rawls &amp; Brakensiek 1980, modified layout for ITC (Jetten)</t>
  </si>
  <si>
    <t>Sat Hydraulic</t>
  </si>
  <si>
    <t>Conductivity</t>
  </si>
  <si>
    <t>ksat</t>
  </si>
  <si>
    <t>pore</t>
  </si>
  <si>
    <t>Brooks-Corey Model</t>
  </si>
  <si>
    <r>
      <t>For h &lt; h</t>
    </r>
    <r>
      <rPr>
        <b/>
        <vertAlign val="subscript"/>
        <sz val="10"/>
        <rFont val="Arial"/>
        <family val="2"/>
      </rPr>
      <t xml:space="preserve"> b </t>
    </r>
    <r>
      <rPr>
        <sz val="10"/>
        <rFont val="Arial"/>
        <family val="2"/>
      </rPr>
      <t>:</t>
    </r>
  </si>
  <si>
    <r>
      <t>s</t>
    </r>
    <r>
      <rPr>
        <vertAlign val="subscript"/>
        <sz val="10"/>
        <rFont val="Arial"/>
        <family val="2"/>
      </rPr>
      <t xml:space="preserve">e </t>
    </r>
    <r>
      <rPr>
        <sz val="10"/>
        <rFont val="Arial"/>
        <family val="2"/>
      </rPr>
      <t>= (h / h</t>
    </r>
    <r>
      <rPr>
        <vertAlign val="subscript"/>
        <sz val="10"/>
        <rFont val="Arial"/>
        <family val="2"/>
      </rPr>
      <t xml:space="preserve"> b 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 xml:space="preserve"> (-lambda)</t>
    </r>
  </si>
  <si>
    <r>
      <t>Kr = (h / h</t>
    </r>
    <r>
      <rPr>
        <vertAlign val="subscript"/>
        <sz val="10"/>
        <rFont val="Arial"/>
        <family val="2"/>
      </rPr>
      <t xml:space="preserve"> b 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 xml:space="preserve"> (-2-3*lambda)</t>
    </r>
  </si>
  <si>
    <r>
      <t>For h &gt;= h</t>
    </r>
    <r>
      <rPr>
        <b/>
        <vertAlign val="subscript"/>
        <sz val="10"/>
        <rFont val="Arial"/>
        <family val="2"/>
      </rPr>
      <t xml:space="preserve"> b </t>
    </r>
    <r>
      <rPr>
        <sz val="10"/>
        <rFont val="Arial"/>
        <family val="2"/>
      </rPr>
      <t>:</t>
    </r>
  </si>
  <si>
    <r>
      <t>s</t>
    </r>
    <r>
      <rPr>
        <vertAlign val="subscript"/>
        <sz val="10"/>
        <rFont val="Arial"/>
        <family val="2"/>
      </rPr>
      <t xml:space="preserve">e </t>
    </r>
    <r>
      <rPr>
        <sz val="10"/>
        <rFont val="Arial"/>
        <family val="2"/>
      </rPr>
      <t>= 1</t>
    </r>
  </si>
  <si>
    <t>Kr = 1</t>
  </si>
  <si>
    <t>where</t>
  </si>
  <si>
    <r>
      <t>s</t>
    </r>
    <r>
      <rPr>
        <vertAlign val="subscript"/>
        <sz val="10"/>
        <rFont val="Arial"/>
        <family val="2"/>
      </rPr>
      <t xml:space="preserve">e </t>
    </r>
    <r>
      <rPr>
        <sz val="10"/>
        <rFont val="Arial"/>
        <family val="2"/>
      </rPr>
      <t>= effective saturation = (VMC - RMC)/(porosity - RMC)</t>
    </r>
  </si>
  <si>
    <t>VMC = volumetric moisture content</t>
  </si>
  <si>
    <t>RMC = residual moisture content</t>
  </si>
  <si>
    <t>Kr = relative hydraulic conductivity</t>
  </si>
  <si>
    <t>h = pressure head</t>
  </si>
  <si>
    <r>
      <t>h</t>
    </r>
    <r>
      <rPr>
        <vertAlign val="subscript"/>
        <sz val="10"/>
        <rFont val="Arial"/>
        <family val="2"/>
      </rPr>
      <t xml:space="preserve"> b </t>
    </r>
    <r>
      <rPr>
        <sz val="10"/>
        <rFont val="Arial"/>
        <family val="2"/>
      </rPr>
      <t>= bubbling or air entry pressure head</t>
    </r>
  </si>
  <si>
    <t>lambda = pore size distribution index</t>
  </si>
  <si>
    <t>Return to: Contents</t>
  </si>
  <si>
    <t>Se^(-1/L)</t>
  </si>
  <si>
    <t>Se^(2/L+3)</t>
  </si>
  <si>
    <t>1/lambda</t>
  </si>
  <si>
    <t>B</t>
  </si>
  <si>
    <t>A</t>
  </si>
  <si>
    <t>[-]</t>
  </si>
  <si>
    <t>om3.5</t>
  </si>
  <si>
    <t>dens 1</t>
  </si>
  <si>
    <t>Dens</t>
  </si>
  <si>
    <t>changed</t>
  </si>
  <si>
    <t>mm/h</t>
  </si>
  <si>
    <t>0.9663x - 2.6706</t>
  </si>
  <si>
    <t>= 0.9824x - 1.3931</t>
  </si>
  <si>
    <t>= 1.0189x + 1.5208</t>
  </si>
  <si>
    <t>1.0387x + 3.1798</t>
  </si>
  <si>
    <t>0.9522x - 3.8471</t>
  </si>
  <si>
    <t>1.0594x + 4.9862</t>
  </si>
  <si>
    <t>1.3595x + 5.4003</t>
  </si>
  <si>
    <t>1.1718x + 2.3147</t>
  </si>
  <si>
    <t>0.844x - 1.6371</t>
  </si>
  <si>
    <t>0.7034x - 2.692</t>
  </si>
  <si>
    <t xml:space="preserve">           s-&gt;pixel[i_].corrKsDA = 3.1429*D2 - 9.5657*DensFact-&gt;Drc + 7.4229; //-3.28*DensFact-&gt;Drc + 4.2957;//-3.28x + 4.2957    //3.1429x2 - 9.5657x + 7.4229</t>
  </si>
  <si>
    <t xml:space="preserve">            s-&gt;pixel[i_].corrKsDB = 0.1/3600.0*(135.4*D2 - 311.07*DensFact-&gt;Drc + 175.67);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</si>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</sst>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0.0000"/>
    <numFmt numFmtId="167" formatCode="0.000000"/>
    <numFmt numFmtId="168" formatCode="0.000E+00"/>
    <numFmt numFmtId="169" formatCode="0.0000E+00"/>
  </numFmts>
  <fonts count="18" x14ac:knownFonts="1">
    <font>
      <sz val="10"/>
      <name val="Arial"/>
    </font>
    <font>
      <sz val="8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color indexed="8"/>
      <name val="Times New Roman"/>
      <family val="1"/>
    </font>
    <font>
      <b/>
      <u/>
      <sz val="12"/>
      <name val="Arial"/>
      <family val="2"/>
    </font>
    <font>
      <b/>
      <sz val="10"/>
      <name val="Arial"/>
      <family val="2"/>
    </font>
    <font>
      <b/>
      <sz val="12"/>
      <color indexed="8"/>
      <name val="Times New Roman"/>
      <family val="1"/>
    </font>
    <font>
      <sz val="10"/>
      <name val="Arial"/>
      <family val="2"/>
    </font>
    <font>
      <b/>
      <sz val="18"/>
      <name val="Arial"/>
      <family val="2"/>
    </font>
    <font>
      <b/>
      <vertAlign val="subscript"/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u/>
      <sz val="10"/>
      <color theme="10"/>
      <name val="Arial"/>
      <family val="2"/>
    </font>
    <font>
      <sz val="11"/>
      <color rgb="FF0070C0"/>
      <name val="Calibri"/>
      <family val="2"/>
    </font>
    <font>
      <i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2" fontId="2" fillId="0" borderId="0" xfId="0" applyNumberFormat="1" applyFont="1"/>
    <xf numFmtId="0" fontId="5" fillId="4" borderId="0" xfId="0" applyFont="1" applyFill="1"/>
    <xf numFmtId="0" fontId="2" fillId="4" borderId="0" xfId="0" applyFont="1" applyFill="1"/>
    <xf numFmtId="10" fontId="2" fillId="0" borderId="0" xfId="0" applyNumberFormat="1" applyFont="1"/>
    <xf numFmtId="0" fontId="5" fillId="0" borderId="0" xfId="0" applyFont="1"/>
    <xf numFmtId="2" fontId="5" fillId="0" borderId="0" xfId="0" applyNumberFormat="1" applyFont="1"/>
    <xf numFmtId="0" fontId="5" fillId="5" borderId="0" xfId="0" applyFont="1" applyFill="1"/>
    <xf numFmtId="0" fontId="5" fillId="6" borderId="0" xfId="0" applyFont="1" applyFill="1"/>
    <xf numFmtId="0" fontId="2" fillId="6" borderId="0" xfId="0" applyFont="1" applyFill="1"/>
    <xf numFmtId="0" fontId="5" fillId="0" borderId="0" xfId="0" applyFont="1" applyAlignment="1">
      <alignment horizontal="right"/>
    </xf>
    <xf numFmtId="0" fontId="2" fillId="7" borderId="0" xfId="0" applyFont="1" applyFill="1"/>
    <xf numFmtId="0" fontId="5" fillId="7" borderId="0" xfId="0" applyFont="1" applyFill="1"/>
    <xf numFmtId="0" fontId="2" fillId="8" borderId="0" xfId="0" applyFont="1" applyFill="1"/>
    <xf numFmtId="0" fontId="5" fillId="8" borderId="0" xfId="0" applyFont="1" applyFill="1"/>
    <xf numFmtId="0" fontId="2" fillId="9" borderId="0" xfId="0" applyFont="1" applyFill="1"/>
    <xf numFmtId="0" fontId="5" fillId="9" borderId="0" xfId="0" applyFont="1" applyFill="1"/>
    <xf numFmtId="0" fontId="2" fillId="0" borderId="0" xfId="0" applyFont="1" applyAlignment="1">
      <alignment horizontal="center"/>
    </xf>
    <xf numFmtId="1" fontId="2" fillId="0" borderId="0" xfId="0" applyNumberFormat="1" applyFont="1"/>
    <xf numFmtId="166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2" fillId="10" borderId="0" xfId="0" applyFont="1" applyFill="1"/>
    <xf numFmtId="2" fontId="2" fillId="10" borderId="0" xfId="0" applyNumberFormat="1" applyFont="1" applyFill="1"/>
    <xf numFmtId="164" fontId="2" fillId="10" borderId="0" xfId="0" applyNumberFormat="1" applyFont="1" applyFill="1"/>
    <xf numFmtId="165" fontId="2" fillId="10" borderId="0" xfId="0" applyNumberFormat="1" applyFont="1" applyFill="1"/>
    <xf numFmtId="11" fontId="2" fillId="0" borderId="0" xfId="0" applyNumberFormat="1" applyFont="1"/>
    <xf numFmtId="2" fontId="2" fillId="11" borderId="0" xfId="0" applyNumberFormat="1" applyFont="1" applyFill="1"/>
    <xf numFmtId="0" fontId="2" fillId="11" borderId="0" xfId="0" applyFont="1" applyFill="1"/>
    <xf numFmtId="2" fontId="4" fillId="7" borderId="0" xfId="0" applyNumberFormat="1" applyFont="1" applyFill="1"/>
    <xf numFmtId="2" fontId="4" fillId="11" borderId="0" xfId="0" applyNumberFormat="1" applyFont="1" applyFill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4" fillId="11" borderId="0" xfId="0" applyFont="1" applyFill="1"/>
    <xf numFmtId="167" fontId="2" fillId="0" borderId="0" xfId="0" applyNumberFormat="1" applyFont="1"/>
    <xf numFmtId="167" fontId="2" fillId="0" borderId="0" xfId="0" applyNumberFormat="1" applyFont="1" applyAlignment="1">
      <alignment horizontal="center"/>
    </xf>
    <xf numFmtId="0" fontId="6" fillId="0" borderId="0" xfId="0" applyFont="1" applyAlignment="1">
      <alignment horizontal="right" vertical="top" wrapText="1"/>
    </xf>
    <xf numFmtId="0" fontId="4" fillId="0" borderId="0" xfId="0" applyFont="1"/>
    <xf numFmtId="4" fontId="2" fillId="0" borderId="0" xfId="0" applyNumberFormat="1" applyFont="1"/>
    <xf numFmtId="0" fontId="4" fillId="6" borderId="0" xfId="0" applyFont="1" applyFill="1"/>
    <xf numFmtId="0" fontId="5" fillId="3" borderId="0" xfId="0" applyFont="1" applyFill="1"/>
    <xf numFmtId="0" fontId="5" fillId="12" borderId="0" xfId="0" applyFont="1" applyFill="1"/>
    <xf numFmtId="0" fontId="2" fillId="12" borderId="0" xfId="0" applyFont="1" applyFill="1"/>
    <xf numFmtId="0" fontId="7" fillId="7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8" fillId="0" borderId="0" xfId="0" applyNumberFormat="1" applyFont="1"/>
    <xf numFmtId="0" fontId="9" fillId="0" borderId="0" xfId="0" applyFont="1" applyAlignment="1">
      <alignment horizontal="right" vertical="top" wrapText="1"/>
    </xf>
    <xf numFmtId="2" fontId="4" fillId="0" borderId="0" xfId="0" applyNumberFormat="1" applyFont="1"/>
    <xf numFmtId="2" fontId="2" fillId="0" borderId="1" xfId="0" applyNumberFormat="1" applyFont="1" applyBorder="1"/>
    <xf numFmtId="2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2" fontId="2" fillId="0" borderId="5" xfId="0" applyNumberFormat="1" applyFont="1" applyBorder="1"/>
    <xf numFmtId="0" fontId="2" fillId="0" borderId="5" xfId="0" applyFont="1" applyBorder="1"/>
    <xf numFmtId="1" fontId="2" fillId="0" borderId="4" xfId="0" applyNumberFormat="1" applyFont="1" applyBorder="1"/>
    <xf numFmtId="1" fontId="2" fillId="0" borderId="6" xfId="0" applyNumberFormat="1" applyFont="1" applyBorder="1"/>
    <xf numFmtId="1" fontId="2" fillId="0" borderId="7" xfId="0" applyNumberFormat="1" applyFont="1" applyBorder="1"/>
    <xf numFmtId="2" fontId="2" fillId="0" borderId="7" xfId="0" applyNumberFormat="1" applyFont="1" applyBorder="1"/>
    <xf numFmtId="0" fontId="2" fillId="0" borderId="1" xfId="0" applyFont="1" applyBorder="1"/>
    <xf numFmtId="2" fontId="2" fillId="0" borderId="3" xfId="0" applyNumberFormat="1" applyFont="1" applyBorder="1"/>
    <xf numFmtId="0" fontId="9" fillId="0" borderId="4" xfId="0" applyFont="1" applyBorder="1" applyAlignment="1">
      <alignment horizontal="right" vertical="top" wrapText="1"/>
    </xf>
    <xf numFmtId="0" fontId="9" fillId="0" borderId="6" xfId="0" applyFont="1" applyBorder="1" applyAlignment="1">
      <alignment horizontal="right" vertical="top" wrapText="1"/>
    </xf>
    <xf numFmtId="0" fontId="2" fillId="0" borderId="7" xfId="0" applyFont="1" applyBorder="1"/>
    <xf numFmtId="2" fontId="2" fillId="0" borderId="8" xfId="0" applyNumberFormat="1" applyFont="1" applyBorder="1"/>
    <xf numFmtId="0" fontId="2" fillId="0" borderId="9" xfId="0" applyFont="1" applyBorder="1"/>
    <xf numFmtId="165" fontId="2" fillId="0" borderId="9" xfId="0" applyNumberFormat="1" applyFont="1" applyBorder="1"/>
    <xf numFmtId="2" fontId="2" fillId="0" borderId="9" xfId="0" applyNumberFormat="1" applyFont="1" applyBorder="1"/>
    <xf numFmtId="0" fontId="2" fillId="0" borderId="10" xfId="0" applyFont="1" applyBorder="1"/>
    <xf numFmtId="165" fontId="2" fillId="0" borderId="11" xfId="0" applyNumberFormat="1" applyFont="1" applyBorder="1"/>
    <xf numFmtId="0" fontId="2" fillId="8" borderId="1" xfId="0" applyFont="1" applyFill="1" applyBorder="1"/>
    <xf numFmtId="0" fontId="2" fillId="8" borderId="2" xfId="0" applyFont="1" applyFill="1" applyBorder="1"/>
    <xf numFmtId="0" fontId="5" fillId="8" borderId="2" xfId="0" applyFont="1" applyFill="1" applyBorder="1"/>
    <xf numFmtId="0" fontId="2" fillId="8" borderId="10" xfId="0" applyFont="1" applyFill="1" applyBorder="1"/>
    <xf numFmtId="0" fontId="2" fillId="8" borderId="3" xfId="0" applyFont="1" applyFill="1" applyBorder="1"/>
    <xf numFmtId="0" fontId="5" fillId="7" borderId="1" xfId="0" applyFont="1" applyFill="1" applyBorder="1"/>
    <xf numFmtId="0" fontId="2" fillId="7" borderId="2" xfId="0" applyFont="1" applyFill="1" applyBorder="1"/>
    <xf numFmtId="0" fontId="5" fillId="7" borderId="2" xfId="0" applyFont="1" applyFill="1" applyBorder="1"/>
    <xf numFmtId="2" fontId="4" fillId="7" borderId="2" xfId="0" applyNumberFormat="1" applyFont="1" applyFill="1" applyBorder="1"/>
    <xf numFmtId="0" fontId="2" fillId="7" borderId="3" xfId="0" applyFont="1" applyFill="1" applyBorder="1"/>
    <xf numFmtId="0" fontId="5" fillId="0" borderId="12" xfId="0" applyFont="1" applyBorder="1"/>
    <xf numFmtId="0" fontId="2" fillId="0" borderId="13" xfId="0" applyFont="1" applyBorder="1"/>
    <xf numFmtId="0" fontId="4" fillId="7" borderId="13" xfId="0" applyFont="1" applyFill="1" applyBorder="1"/>
    <xf numFmtId="2" fontId="4" fillId="7" borderId="13" xfId="0" applyNumberFormat="1" applyFont="1" applyFill="1" applyBorder="1"/>
    <xf numFmtId="0" fontId="4" fillId="7" borderId="13" xfId="0" applyFont="1" applyFill="1" applyBorder="1" applyAlignment="1">
      <alignment horizontal="center"/>
    </xf>
    <xf numFmtId="2" fontId="4" fillId="7" borderId="14" xfId="0" applyNumberFormat="1" applyFont="1" applyFill="1" applyBorder="1"/>
    <xf numFmtId="0" fontId="2" fillId="0" borderId="12" xfId="0" applyFont="1" applyBorder="1"/>
    <xf numFmtId="0" fontId="2" fillId="0" borderId="14" xfId="0" applyFont="1" applyBorder="1"/>
    <xf numFmtId="164" fontId="2" fillId="13" borderId="0" xfId="0" applyNumberFormat="1" applyFont="1" applyFill="1"/>
    <xf numFmtId="165" fontId="2" fillId="13" borderId="0" xfId="0" applyNumberFormat="1" applyFont="1" applyFill="1"/>
    <xf numFmtId="165" fontId="2" fillId="0" borderId="0" xfId="0" quotePrefix="1" applyNumberFormat="1" applyFont="1"/>
    <xf numFmtId="0" fontId="11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0" fillId="0" borderId="0" xfId="0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5" fillId="0" borderId="0" xfId="1"/>
    <xf numFmtId="0" fontId="16" fillId="0" borderId="0" xfId="0" applyFont="1"/>
    <xf numFmtId="0" fontId="2" fillId="0" borderId="0" xfId="0" quotePrefix="1" applyFont="1"/>
    <xf numFmtId="165" fontId="2" fillId="13" borderId="9" xfId="0" applyNumberFormat="1" applyFont="1" applyFill="1" applyBorder="1"/>
    <xf numFmtId="0" fontId="17" fillId="0" borderId="0" xfId="0" applyFont="1"/>
    <xf numFmtId="2" fontId="17" fillId="0" borderId="0" xfId="0" applyNumberFormat="1" applyFont="1"/>
    <xf numFmtId="168" fontId="2" fillId="0" borderId="0" xfId="0" applyNumberFormat="1" applyFont="1"/>
    <xf numFmtId="169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ksat vs ksat OM/D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19203849518811"/>
                  <c:y val="3.29675572519083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Equations!$X$14:$X$25</c:f>
              <c:numCache>
                <c:formatCode>General</c:formatCode>
                <c:ptCount val="12"/>
                <c:pt idx="0">
                  <c:v>277.57173767631298</c:v>
                </c:pt>
                <c:pt idx="1">
                  <c:v>88.976076856856011</c:v>
                </c:pt>
                <c:pt idx="2">
                  <c:v>56.492903730046969</c:v>
                </c:pt>
                <c:pt idx="3">
                  <c:v>23.481549906182593</c:v>
                </c:pt>
                <c:pt idx="4">
                  <c:v>23.224503980325125</c:v>
                </c:pt>
                <c:pt idx="5">
                  <c:v>29.25290209071526</c:v>
                </c:pt>
                <c:pt idx="6">
                  <c:v>12.731059666440757</c:v>
                </c:pt>
                <c:pt idx="7">
                  <c:v>5.7753169717507733</c:v>
                </c:pt>
                <c:pt idx="8">
                  <c:v>7.8864855499959345</c:v>
                </c:pt>
                <c:pt idx="9">
                  <c:v>5.0173216966832497</c:v>
                </c:pt>
                <c:pt idx="10">
                  <c:v>1.5732814041398711</c:v>
                </c:pt>
                <c:pt idx="11">
                  <c:v>1.4419380750812543</c:v>
                </c:pt>
              </c:numCache>
            </c:numRef>
          </c:xVal>
          <c:yVal>
            <c:numRef>
              <c:f>Equations!$Y$14:$Y$25</c:f>
              <c:numCache>
                <c:formatCode>0.0000E+00</c:formatCode>
                <c:ptCount val="12"/>
                <c:pt idx="0">
                  <c:v>297.41013985657196</c:v>
                </c:pt>
                <c:pt idx="1">
                  <c:v>98.023184014895264</c:v>
                </c:pt>
                <c:pt idx="2">
                  <c:v>66.885507903102351</c:v>
                </c:pt>
                <c:pt idx="3">
                  <c:v>31.276477670959462</c:v>
                </c:pt>
                <c:pt idx="4">
                  <c:v>35.667712259469134</c:v>
                </c:pt>
                <c:pt idx="5">
                  <c:v>48.505209626312684</c:v>
                </c:pt>
                <c:pt idx="6">
                  <c:v>15.172432168096199</c:v>
                </c:pt>
                <c:pt idx="7">
                  <c:v>8.0840453681644071</c:v>
                </c:pt>
                <c:pt idx="8">
                  <c:v>12.491484114118247</c:v>
                </c:pt>
                <c:pt idx="9">
                  <c:v>7.579652114816688</c:v>
                </c:pt>
                <c:pt idx="10">
                  <c:v>1.8738722883530468</c:v>
                </c:pt>
                <c:pt idx="11">
                  <c:v>1.9743695050180423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8-4C29-85B0-5586D1A7D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34223"/>
        <c:axId val="205937583"/>
      </c:scatterChart>
      <c:valAx>
        <c:axId val="20593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5937583"/>
        <c:crosses val="autoZero"/>
        <c:crossBetween val="midCat"/>
      </c:valAx>
      <c:valAx>
        <c:axId val="20593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593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Ksat OM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Equations!$AE$28:$AE$34</c:f>
              <c:numCache>
                <c:formatCode>0.00</c:formatCode>
                <c:ptCount val="7"/>
                <c:pt idx="0" formatCode="General">
                  <c:v>-1.5</c:v>
                </c:pt>
                <c:pt idx="1">
                  <c:v>-1</c:v>
                </c:pt>
                <c:pt idx="2">
                  <c:v>-0.5</c:v>
                </c:pt>
                <c:pt idx="3" formatCode="General">
                  <c:v>0</c:v>
                </c:pt>
                <c:pt idx="4">
                  <c:v>0.5</c:v>
                </c:pt>
                <c:pt idx="5">
                  <c:v>1</c:v>
                </c:pt>
                <c:pt idx="6" formatCode="General">
                  <c:v>1.5</c:v>
                </c:pt>
              </c:numCache>
            </c:numRef>
          </c:xVal>
          <c:yVal>
            <c:numRef>
              <c:f>Equations!$AG$28:$AG$34</c:f>
              <c:numCache>
                <c:formatCode>General</c:formatCode>
                <c:ptCount val="7"/>
                <c:pt idx="0">
                  <c:v>-3.8471000000000002</c:v>
                </c:pt>
                <c:pt idx="1">
                  <c:v>-2.6705999999999999</c:v>
                </c:pt>
                <c:pt idx="2">
                  <c:v>-1.3931</c:v>
                </c:pt>
                <c:pt idx="3">
                  <c:v>0</c:v>
                </c:pt>
                <c:pt idx="4">
                  <c:v>1.5207999999999999</c:v>
                </c:pt>
                <c:pt idx="5">
                  <c:v>3.1798000000000002</c:v>
                </c:pt>
                <c:pt idx="6">
                  <c:v>4.9862000000000002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2-43D7-932D-F4B29F17B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72176"/>
        <c:axId val="663275536"/>
      </c:scatterChart>
      <c:valAx>
        <c:axId val="66327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3275536"/>
        <c:crosses val="autoZero"/>
        <c:crossBetween val="midCat"/>
      </c:valAx>
      <c:valAx>
        <c:axId val="6632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327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Salinity Effects on Tension</a:t>
            </a:r>
          </a:p>
        </c:rich>
      </c:tx>
      <c:layout>
        <c:manualLayout>
          <c:xMode val="edge"/>
          <c:yMode val="edge"/>
          <c:x val="0.35556875334712323"/>
          <c:y val="3.04568204278108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73615247170935"/>
          <c:y val="0.15939117899583399"/>
          <c:w val="0.85467540202501491"/>
          <c:h val="0.68528054663813975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'Equations-Protected'!$CA$15:$CA$44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'Equations-Protected'!$CB$15:$CB$44</c:f>
              <c:numCache>
                <c:formatCode>0</c:formatCode>
                <c:ptCount val="30"/>
                <c:pt idx="12">
                  <c:v>14.502004662177464</c:v>
                </c:pt>
                <c:pt idx="13">
                  <c:v>16.229850331793806</c:v>
                </c:pt>
                <c:pt idx="14">
                  <c:v>18.274468559432222</c:v>
                </c:pt>
                <c:pt idx="15">
                  <c:v>20.716726985240378</c:v>
                </c:pt>
                <c:pt idx="16">
                  <c:v>23.664704921007893</c:v>
                </c:pt>
                <c:pt idx="17">
                  <c:v>27.265363556557539</c:v>
                </c:pt>
                <c:pt idx="18">
                  <c:v>31.722458108585137</c:v>
                </c:pt>
                <c:pt idx="19">
                  <c:v>37.32479735054067</c:v>
                </c:pt>
                <c:pt idx="20">
                  <c:v>44.492247669230593</c:v>
                </c:pt>
                <c:pt idx="21">
                  <c:v>53.853373566801423</c:v>
                </c:pt>
                <c:pt idx="22">
                  <c:v>66.382084064701303</c:v>
                </c:pt>
                <c:pt idx="23">
                  <c:v>74.291197264095388</c:v>
                </c:pt>
                <c:pt idx="24">
                  <c:v>83.65031844968567</c:v>
                </c:pt>
                <c:pt idx="25">
                  <c:v>94.829614547455648</c:v>
                </c:pt>
                <c:pt idx="26">
                  <c:v>108.32381232987588</c:v>
                </c:pt>
                <c:pt idx="27">
                  <c:v>124.80561810785443</c:v>
                </c:pt>
                <c:pt idx="28">
                  <c:v>145.20770955171378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7-4ACB-B920-CE5BBE30AED6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'Equations-Protected'!$CA$15:$CA$44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'Equations-Protected'!$CC$15:$CC$44</c:f>
              <c:numCache>
                <c:formatCode>0</c:formatCode>
                <c:ptCount val="30"/>
                <c:pt idx="12">
                  <c:v>15.447162600450485</c:v>
                </c:pt>
                <c:pt idx="13">
                  <c:v>18.997377754084948</c:v>
                </c:pt>
                <c:pt idx="14">
                  <c:v>23.626391061366206</c:v>
                </c:pt>
                <c:pt idx="15">
                  <c:v>29.751963103559824</c:v>
                </c:pt>
                <c:pt idx="16">
                  <c:v>37.993145316178371</c:v>
                </c:pt>
                <c:pt idx="17">
                  <c:v>49.289047622870193</c:v>
                </c:pt>
                <c:pt idx="18">
                  <c:v>65.102521625014504</c:v>
                </c:pt>
                <c:pt idx="19">
                  <c:v>87.781857273445539</c:v>
                </c:pt>
                <c:pt idx="20">
                  <c:v>121.22912131300605</c:v>
                </c:pt>
                <c:pt idx="21">
                  <c:v>172.19297006115593</c:v>
                </c:pt>
                <c:pt idx="22">
                  <c:v>252.90650265440664</c:v>
                </c:pt>
                <c:pt idx="23">
                  <c:v>311.03190221161628</c:v>
                </c:pt>
                <c:pt idx="24">
                  <c:v>386.81977319907287</c:v>
                </c:pt>
                <c:pt idx="25">
                  <c:v>487.1098421275654</c:v>
                </c:pt>
                <c:pt idx="26">
                  <c:v>622.0374417807385</c:v>
                </c:pt>
                <c:pt idx="27">
                  <c:v>806.9780176395027</c:v>
                </c:pt>
                <c:pt idx="28">
                  <c:v>1065.8819023297606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57-4ACB-B920-CE5BBE30AED6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'Equations-Protected'!$CA$15:$CA$44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'Equations-Protected'!$CD$15:$CD$44</c:f>
              <c:numCache>
                <c:formatCode>0</c:formatCode>
                <c:ptCount val="30"/>
                <c:pt idx="12">
                  <c:v>13.565241943793151</c:v>
                </c:pt>
                <c:pt idx="13">
                  <c:v>19.374192735367856</c:v>
                </c:pt>
                <c:pt idx="14">
                  <c:v>28.209215945160793</c:v>
                </c:pt>
                <c:pt idx="15">
                  <c:v>41.964998013490018</c:v>
                </c:pt>
                <c:pt idx="16">
                  <c:v>63.95049859967763</c:v>
                </c:pt>
                <c:pt idx="17">
                  <c:v>100.14107978969797</c:v>
                </c:pt>
                <c:pt idx="18">
                  <c:v>161.74215254443058</c:v>
                </c:pt>
                <c:pt idx="19">
                  <c:v>270.6891410554544</c:v>
                </c:pt>
                <c:pt idx="20">
                  <c:v>472.09419554742942</c:v>
                </c:pt>
                <c:pt idx="21">
                  <c:v>864.20538509213213</c:v>
                </c:pt>
                <c:pt idx="22">
                  <c:v>1675.9070013315416</c:v>
                </c:pt>
                <c:pt idx="23">
                  <c:v>2393.569195808273</c:v>
                </c:pt>
                <c:pt idx="24">
                  <c:v>3485.0850947188364</c:v>
                </c:pt>
                <c:pt idx="25">
                  <c:v>5184.5322238319359</c:v>
                </c:pt>
                <c:pt idx="26">
                  <c:v>7900.713366257447</c:v>
                </c:pt>
                <c:pt idx="27">
                  <c:v>12371.849867170644</c:v>
                </c:pt>
                <c:pt idx="28">
                  <c:v>19982.305290446577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57-4ACB-B920-CE5BBE30AED6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'Equations-Protected'!$CA$15:$CA$44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'Equations-Protected'!$CE$15:$CE$44</c:f>
              <c:numCache>
                <c:formatCode>0</c:formatCode>
                <c:ptCount val="30"/>
                <c:pt idx="12">
                  <c:v>91.433646775129048</c:v>
                </c:pt>
                <c:pt idx="13">
                  <c:v>171.83758660439585</c:v>
                </c:pt>
                <c:pt idx="14">
                  <c:v>334.15563229948543</c:v>
                </c:pt>
                <c:pt idx="15">
                  <c:v>674.98288214821912</c:v>
                </c:pt>
                <c:pt idx="16">
                  <c:v>1422.8314017845553</c:v>
                </c:pt>
                <c:pt idx="17">
                  <c:v>3147.1861344512204</c:v>
                </c:pt>
                <c:pt idx="18">
                  <c:v>7353.3772466433429</c:v>
                </c:pt>
                <c:pt idx="19">
                  <c:v>18296.8558238306</c:v>
                </c:pt>
                <c:pt idx="20">
                  <c:v>48974.479497367916</c:v>
                </c:pt>
                <c:pt idx="21">
                  <c:v>142820.41079302851</c:v>
                </c:pt>
                <c:pt idx="22">
                  <c:v>461257.533669047</c:v>
                </c:pt>
                <c:pt idx="23">
                  <c:v>866873.23741685203</c:v>
                </c:pt>
                <c:pt idx="24">
                  <c:v>1685723.0161140945</c:v>
                </c:pt>
                <c:pt idx="25">
                  <c:v>3405102.5029573822</c:v>
                </c:pt>
                <c:pt idx="26">
                  <c:v>7177792.0531606367</c:v>
                </c:pt>
                <c:pt idx="27">
                  <c:v>15876686.160671214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57-4ACB-B920-CE5BBE30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462232"/>
        <c:axId val="1"/>
      </c:scatterChart>
      <c:valAx>
        <c:axId val="380462232"/>
        <c:scaling>
          <c:orientation val="minMax"/>
          <c:max val="5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8540795462860314"/>
              <c:y val="0.9187835123848385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At val="10"/>
        <c:crossBetween val="midCat"/>
        <c:majorUnit val="5"/>
      </c:valAx>
      <c:valAx>
        <c:axId val="1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Tension, kPa</a:t>
                </a:r>
              </a:p>
            </c:rich>
          </c:tx>
          <c:layout>
            <c:manualLayout>
              <c:xMode val="edge"/>
              <c:yMode val="edge"/>
              <c:x val="1.6676659140829626E-2"/>
              <c:y val="0.4000008500961671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380462232"/>
        <c:crosses val="autoZero"/>
        <c:crossBetween val="midCat"/>
        <c:majorUnit val="10"/>
        <c:minorUnit val="1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Gravel Effects</a:t>
            </a:r>
          </a:p>
        </c:rich>
      </c:tx>
      <c:layout>
        <c:manualLayout>
          <c:xMode val="edge"/>
          <c:yMode val="edge"/>
          <c:x val="0.41613311133694003"/>
          <c:y val="3.11203171145058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10371318822023"/>
          <c:y val="0.18983440951279157"/>
          <c:w val="0.70806658130601796"/>
          <c:h val="0.62863197904235901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'Equations-Protected'!$BU$20:$BU$34</c:f>
              <c:numCache>
                <c:formatCode>0.00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'Equations-Protected'!$BV$20:$BV$34</c:f>
              <c:numCache>
                <c:formatCode>0.00</c:formatCode>
                <c:ptCount val="15"/>
                <c:pt idx="0">
                  <c:v>0</c:v>
                </c:pt>
                <c:pt idx="1">
                  <c:v>2.6533370684474079E-2</c:v>
                </c:pt>
                <c:pt idx="2">
                  <c:v>5.4410780977330563E-2</c:v>
                </c:pt>
                <c:pt idx="3">
                  <c:v>8.3737007450988055E-2</c:v>
                </c:pt>
                <c:pt idx="4">
                  <c:v>0.11462800790875503</c:v>
                </c:pt>
                <c:pt idx="5">
                  <c:v>0.14721245377321235</c:v>
                </c:pt>
                <c:pt idx="6">
                  <c:v>0.18163352159376231</c:v>
                </c:pt>
                <c:pt idx="7">
                  <c:v>0.21805099627413727</c:v>
                </c:pt>
                <c:pt idx="8">
                  <c:v>0.2566437511884162</c:v>
                </c:pt>
                <c:pt idx="9">
                  <c:v>0.29761268640397059</c:v>
                </c:pt>
                <c:pt idx="10">
                  <c:v>0.34118422686778971</c:v>
                </c:pt>
                <c:pt idx="11">
                  <c:v>0.38761450914396078</c:v>
                </c:pt>
                <c:pt idx="12">
                  <c:v>0.4371944201814284</c:v>
                </c:pt>
                <c:pt idx="13">
                  <c:v>0.49025569750739106</c:v>
                </c:pt>
                <c:pt idx="14">
                  <c:v>0.54717836119434171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D-4FE1-A3BD-B77518306733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'Equations-Protected'!$BU$20:$BU$34</c:f>
              <c:numCache>
                <c:formatCode>0.00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'Equations-Protected'!$BW$20:$BW$34</c:f>
              <c:numCache>
                <c:formatCode>0.00</c:formatCode>
                <c:ptCount val="15"/>
                <c:pt idx="0">
                  <c:v>1.3723687836147198</c:v>
                </c:pt>
                <c:pt idx="1">
                  <c:v>1.4062686462771261</c:v>
                </c:pt>
                <c:pt idx="2">
                  <c:v>1.4418856958992596</c:v>
                </c:pt>
                <c:pt idx="3">
                  <c:v>1.4793537983007889</c:v>
                </c:pt>
                <c:pt idx="4">
                  <c:v>1.5188211047910039</c:v>
                </c:pt>
                <c:pt idx="5">
                  <c:v>1.5604520099960508</c:v>
                </c:pt>
                <c:pt idx="6">
                  <c:v>1.6044294407449005</c:v>
                </c:pt>
                <c:pt idx="7">
                  <c:v>1.650957543218468</c:v>
                </c:pt>
                <c:pt idx="8">
                  <c:v>1.700264851623257</c:v>
                </c:pt>
                <c:pt idx="9">
                  <c:v>1.7526080421567158</c:v>
                </c:pt>
                <c:pt idx="10">
                  <c:v>1.8082764023992852</c:v>
                </c:pt>
                <c:pt idx="11">
                  <c:v>1.8675971804209017</c:v>
                </c:pt>
                <c:pt idx="12">
                  <c:v>1.9309420224679754</c:v>
                </c:pt>
                <c:pt idx="13">
                  <c:v>1.9987347667609019</c:v>
                </c:pt>
                <c:pt idx="14">
                  <c:v>2.0714609388071508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D-4FE1-A3BD-B77518306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468792"/>
        <c:axId val="1"/>
      </c:scatterChart>
      <c:scatterChart>
        <c:scatterStyle val="lineMarker"/>
        <c:varyColors val="0"/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'Equations-Protected'!$BU$20:$BU$34</c:f>
              <c:numCache>
                <c:formatCode>0.00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'Equations-Protected'!$BX$20:$BX$34</c:f>
              <c:numCache>
                <c:formatCode>0.0</c:formatCode>
                <c:ptCount val="15"/>
                <c:pt idx="0">
                  <c:v>12.141446393783953</c:v>
                </c:pt>
                <c:pt idx="1">
                  <c:v>11.664543073356816</c:v>
                </c:pt>
                <c:pt idx="2">
                  <c:v>11.176752886627749</c:v>
                </c:pt>
                <c:pt idx="3">
                  <c:v>10.677698737280368</c:v>
                </c:pt>
                <c:pt idx="4">
                  <c:v>10.166985909890023</c:v>
                </c:pt>
                <c:pt idx="5">
                  <c:v>9.6442010287377826</c:v>
                </c:pt>
                <c:pt idx="6">
                  <c:v>9.108910941907757</c:v>
                </c:pt>
                <c:pt idx="7">
                  <c:v>8.5606615243366857</c:v>
                </c:pt>
                <c:pt idx="8">
                  <c:v>7.998976392864062</c:v>
                </c:pt>
                <c:pt idx="9">
                  <c:v>7.4233555256411936</c:v>
                </c:pt>
                <c:pt idx="10">
                  <c:v>6.8332737774896826</c:v>
                </c:pt>
                <c:pt idx="11">
                  <c:v>6.2281792819440156</c:v>
                </c:pt>
                <c:pt idx="12">
                  <c:v>5.6074917297578617</c:v>
                </c:pt>
                <c:pt idx="13">
                  <c:v>4.9706005125864676</c:v>
                </c:pt>
                <c:pt idx="14">
                  <c:v>4.316862719363237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4D-4FE1-A3BD-B77518306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80468792"/>
        <c:scaling>
          <c:orientation val="minMax"/>
          <c:max val="0.8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Gravel, %w</a:t>
                </a:r>
              </a:p>
            </c:rich>
          </c:tx>
          <c:layout>
            <c:manualLayout>
              <c:xMode val="edge"/>
              <c:yMode val="edge"/>
              <c:x val="0.49551840220262855"/>
              <c:y val="0.8952300425819791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 val="autoZero"/>
        <c:crossBetween val="midCat"/>
        <c:majorUnit val="0.2"/>
        <c:minorUnit val="0.1"/>
      </c:valAx>
      <c:valAx>
        <c:axId val="1"/>
        <c:scaling>
          <c:orientation val="minMax"/>
          <c:max val="2.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Gravel, %v,
Bulk Den., g/cc</a:t>
                </a:r>
              </a:p>
            </c:rich>
          </c:tx>
          <c:layout>
            <c:manualLayout>
              <c:xMode val="edge"/>
              <c:yMode val="edge"/>
              <c:x val="7.6824492255332874E-2"/>
              <c:y val="0.374482189395438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380468792"/>
        <c:crosses val="autoZero"/>
        <c:crossBetween val="midCat"/>
        <c:majorUnit val="0.5"/>
        <c:minorUnit val="0.1"/>
      </c:valAx>
      <c:valAx>
        <c:axId val="3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Sat. Cond., mm/hr</a:t>
                </a:r>
              </a:p>
            </c:rich>
          </c:tx>
          <c:layout>
            <c:manualLayout>
              <c:xMode val="edge"/>
              <c:yMode val="edge"/>
              <c:x val="0.94942369350081224"/>
              <c:y val="0.357884513581443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3"/>
        <c:crosses val="max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Moisture vrs. Tension</a:t>
            </a:r>
          </a:p>
        </c:rich>
      </c:tx>
      <c:layout>
        <c:manualLayout>
          <c:xMode val="edge"/>
          <c:yMode val="edge"/>
          <c:x val="0.39956681380399051"/>
          <c:y val="2.94883112803343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95235517054684"/>
          <c:y val="0.15351283593214021"/>
          <c:w val="0.85923118570655121"/>
          <c:h val="0.71986245098122248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'Equations-Protected'!$BD$24:$BD$50</c:f>
              <c:numCache>
                <c:formatCode>0</c:formatCode>
                <c:ptCount val="27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</c:numCache>
            </c:numRef>
          </c:xVal>
          <c:yVal>
            <c:numRef>
              <c:f>'Equations-Protected'!$BE$24:$BE$50</c:f>
              <c:numCache>
                <c:formatCode>0</c:formatCode>
                <c:ptCount val="27"/>
                <c:pt idx="4">
                  <c:v>16.229850331793806</c:v>
                </c:pt>
                <c:pt idx="5">
                  <c:v>18.274468559432222</c:v>
                </c:pt>
                <c:pt idx="6">
                  <c:v>20.716726985240378</c:v>
                </c:pt>
                <c:pt idx="7">
                  <c:v>23.664704921007893</c:v>
                </c:pt>
                <c:pt idx="8">
                  <c:v>27.265363556557539</c:v>
                </c:pt>
                <c:pt idx="9">
                  <c:v>31.722458108585137</c:v>
                </c:pt>
                <c:pt idx="10">
                  <c:v>37.32479735054067</c:v>
                </c:pt>
                <c:pt idx="11">
                  <c:v>44.492247669230593</c:v>
                </c:pt>
                <c:pt idx="12">
                  <c:v>53.853373566801423</c:v>
                </c:pt>
                <c:pt idx="13">
                  <c:v>66.382084064701303</c:v>
                </c:pt>
                <c:pt idx="14">
                  <c:v>74.291197264095388</c:v>
                </c:pt>
                <c:pt idx="15">
                  <c:v>83.65031844968567</c:v>
                </c:pt>
                <c:pt idx="16">
                  <c:v>94.829614547455648</c:v>
                </c:pt>
                <c:pt idx="17">
                  <c:v>108.32381232987588</c:v>
                </c:pt>
                <c:pt idx="18">
                  <c:v>124.80561810785443</c:v>
                </c:pt>
                <c:pt idx="19">
                  <c:v>145.20770955171378</c:v>
                </c:pt>
                <c:pt idx="20">
                  <c:v>170.8520920479078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8-4DBF-B2F3-3B36618607C8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'Equations-Protected'!$BD$24:$BD$50</c:f>
              <c:numCache>
                <c:formatCode>0</c:formatCode>
                <c:ptCount val="27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</c:numCache>
            </c:numRef>
          </c:xVal>
          <c:yVal>
            <c:numRef>
              <c:f>'Equations-Protected'!$BF$24:$BF$50</c:f>
              <c:numCache>
                <c:formatCode>0</c:formatCode>
                <c:ptCount val="27"/>
                <c:pt idx="3">
                  <c:v>15.447162600450485</c:v>
                </c:pt>
                <c:pt idx="4">
                  <c:v>18.997377754084948</c:v>
                </c:pt>
                <c:pt idx="5">
                  <c:v>23.626391061366206</c:v>
                </c:pt>
                <c:pt idx="6">
                  <c:v>29.751963103559824</c:v>
                </c:pt>
                <c:pt idx="7">
                  <c:v>37.993145316178371</c:v>
                </c:pt>
                <c:pt idx="8">
                  <c:v>49.289047622870193</c:v>
                </c:pt>
                <c:pt idx="9">
                  <c:v>65.102521625014504</c:v>
                </c:pt>
                <c:pt idx="10">
                  <c:v>87.781857273445539</c:v>
                </c:pt>
                <c:pt idx="11">
                  <c:v>121.22912131300605</c:v>
                </c:pt>
                <c:pt idx="12">
                  <c:v>172.19297006115593</c:v>
                </c:pt>
                <c:pt idx="13">
                  <c:v>252.90650265440664</c:v>
                </c:pt>
                <c:pt idx="14">
                  <c:v>311.03190221161628</c:v>
                </c:pt>
                <c:pt idx="15">
                  <c:v>386.81977319907287</c:v>
                </c:pt>
                <c:pt idx="16">
                  <c:v>487.1098421275654</c:v>
                </c:pt>
                <c:pt idx="17">
                  <c:v>622.0374417807385</c:v>
                </c:pt>
                <c:pt idx="18">
                  <c:v>806.9780176395027</c:v>
                </c:pt>
                <c:pt idx="19">
                  <c:v>1065.8819023297606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A8-4DBF-B2F3-3B36618607C8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'Equations-Protected'!$BD$24:$BD$50</c:f>
              <c:numCache>
                <c:formatCode>0</c:formatCode>
                <c:ptCount val="27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</c:numCache>
            </c:numRef>
          </c:xVal>
          <c:yVal>
            <c:numRef>
              <c:f>'Equations-Protected'!$BG$24:$BG$50</c:f>
              <c:numCache>
                <c:formatCode>0</c:formatCode>
                <c:ptCount val="27"/>
                <c:pt idx="1">
                  <c:v>6.9951107839453037</c:v>
                </c:pt>
                <c:pt idx="2">
                  <c:v>9.6646375905348236</c:v>
                </c:pt>
                <c:pt idx="3">
                  <c:v>13.565241943793151</c:v>
                </c:pt>
                <c:pt idx="4">
                  <c:v>19.374192735367856</c:v>
                </c:pt>
                <c:pt idx="5">
                  <c:v>28.209215945160793</c:v>
                </c:pt>
                <c:pt idx="6">
                  <c:v>41.964998013490018</c:v>
                </c:pt>
                <c:pt idx="7">
                  <c:v>63.95049859967763</c:v>
                </c:pt>
                <c:pt idx="8">
                  <c:v>100.14107978969797</c:v>
                </c:pt>
                <c:pt idx="9">
                  <c:v>161.74215254443058</c:v>
                </c:pt>
                <c:pt idx="10">
                  <c:v>270.6891410554544</c:v>
                </c:pt>
                <c:pt idx="11">
                  <c:v>472.09419554742942</c:v>
                </c:pt>
                <c:pt idx="12">
                  <c:v>864.20538509213213</c:v>
                </c:pt>
                <c:pt idx="13">
                  <c:v>1675.9070013315416</c:v>
                </c:pt>
                <c:pt idx="14">
                  <c:v>2393.569195808273</c:v>
                </c:pt>
                <c:pt idx="15">
                  <c:v>3485.0850947188364</c:v>
                </c:pt>
                <c:pt idx="16">
                  <c:v>5184.5322238319359</c:v>
                </c:pt>
                <c:pt idx="17">
                  <c:v>7900.713366257447</c:v>
                </c:pt>
                <c:pt idx="18">
                  <c:v>12371.849867170644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A8-4DBF-B2F3-3B366186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468136"/>
        <c:axId val="1"/>
      </c:scatterChart>
      <c:valAx>
        <c:axId val="380468136"/>
        <c:scaling>
          <c:orientation val="minMax"/>
          <c:max val="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7753110072268334"/>
              <c:y val="0.937555992995785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 val="autoZero"/>
        <c:crossBetween val="midCat"/>
        <c:majorUnit val="10"/>
      </c:valAx>
      <c:valAx>
        <c:axId val="1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Tension, kPa</a:t>
                </a:r>
              </a:p>
            </c:rich>
          </c:tx>
          <c:layout>
            <c:manualLayout>
              <c:xMode val="edge"/>
              <c:yMode val="edge"/>
              <c:x val="9.7456070713413979E-3"/>
              <c:y val="0.4232445105048677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380468136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Organic Matter Effects on Conductivity</a:t>
            </a:r>
          </a:p>
        </c:rich>
      </c:tx>
      <c:layout>
        <c:manualLayout>
          <c:xMode val="edge"/>
          <c:yMode val="edge"/>
          <c:x val="0.19396590046962889"/>
          <c:y val="3.0332702865864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74409341336667"/>
          <c:y val="0.19471624266144813"/>
          <c:w val="0.7555427805846634"/>
          <c:h val="0.59491193737769077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'Equations-Protected'!$BI$15:$BI$37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'Equations-Protected'!$BJ$15:$BJ$37</c:f>
              <c:numCache>
                <c:formatCode>General</c:formatCode>
                <c:ptCount val="23"/>
                <c:pt idx="11">
                  <c:v>1.2786556378198501</c:v>
                </c:pt>
                <c:pt idx="12" formatCode="0.0000">
                  <c:v>0.89162883481131838</c:v>
                </c:pt>
                <c:pt idx="13" formatCode="0.0000">
                  <c:v>0.61035424837874575</c:v>
                </c:pt>
                <c:pt idx="14" formatCode="0.0000">
                  <c:v>0.40933436048861699</c:v>
                </c:pt>
                <c:pt idx="15" formatCode="0.0000">
                  <c:v>0.2683210083623947</c:v>
                </c:pt>
                <c:pt idx="16" formatCode="0.0000">
                  <c:v>0.17143834264987651</c:v>
                </c:pt>
                <c:pt idx="17" formatCode="0.0000">
                  <c:v>0.10641464241036659</c:v>
                </c:pt>
                <c:pt idx="18" formatCode="0.0000">
                  <c:v>6.391468320522084E-2</c:v>
                </c:pt>
                <c:pt idx="19" formatCode="0.0000">
                  <c:v>3.6964542779758199E-2</c:v>
                </c:pt>
                <c:pt idx="20" formatCode="0.0000">
                  <c:v>2.0460924115776404E-2</c:v>
                </c:pt>
                <c:pt idx="21" formatCode="0.0000">
                  <c:v>1.0757278829622909E-2</c:v>
                </c:pt>
                <c:pt idx="22" formatCode="0.0000">
                  <c:v>5.3192258782451792E-3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F-43A4-9ADF-6C325CC967EF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'Equations-Protected'!$BI$15:$BI$37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'Equations-Protected'!$BK$15:$BK$37</c:f>
              <c:numCache>
                <c:formatCode>General</c:formatCode>
                <c:ptCount val="23"/>
                <c:pt idx="10">
                  <c:v>3.3976270300272464</c:v>
                </c:pt>
                <c:pt idx="11">
                  <c:v>2.0304735690487599</c:v>
                </c:pt>
                <c:pt idx="12" formatCode="0.0000">
                  <c:v>1.1833371244593118</c:v>
                </c:pt>
                <c:pt idx="13" formatCode="0.0000">
                  <c:v>0.67079439421390841</c:v>
                </c:pt>
                <c:pt idx="14" formatCode="0.0000">
                  <c:v>0.36875564556106322</c:v>
                </c:pt>
                <c:pt idx="15" formatCode="0.0000">
                  <c:v>0.19589865283684277</c:v>
                </c:pt>
                <c:pt idx="16" formatCode="0.0000">
                  <c:v>0.10015332898891266</c:v>
                </c:pt>
                <c:pt idx="17" formatCode="0.0000">
                  <c:v>4.9033044825955191E-2</c:v>
                </c:pt>
                <c:pt idx="18" formatCode="0.0000">
                  <c:v>2.2850958674594159E-2</c:v>
                </c:pt>
                <c:pt idx="19" formatCode="0.0000">
                  <c:v>1.0063208364173851E-2</c:v>
                </c:pt>
                <c:pt idx="20" formatCode="0.0000">
                  <c:v>4.1499776929806425E-3</c:v>
                </c:pt>
                <c:pt idx="21" formatCode="0.0000">
                  <c:v>1.5843938949853227E-3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CF-43A4-9ADF-6C325CC967EF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'Equations-Protected'!$BI$15:$BI$37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'Equations-Protected'!$BL$15:$BL$37</c:f>
              <c:numCache>
                <c:formatCode>General</c:formatCode>
                <c:ptCount val="23"/>
                <c:pt idx="9">
                  <c:v>2.1108489173417109</c:v>
                </c:pt>
                <c:pt idx="10">
                  <c:v>0.99596284133026203</c:v>
                </c:pt>
                <c:pt idx="11">
                  <c:v>0.45378592841839871</c:v>
                </c:pt>
                <c:pt idx="12" formatCode="0.0000">
                  <c:v>0.19897530808751615</c:v>
                </c:pt>
                <c:pt idx="13" formatCode="0.0000">
                  <c:v>8.3633035153624344E-2</c:v>
                </c:pt>
                <c:pt idx="14" formatCode="0.0000">
                  <c:v>3.3542835428103039E-2</c:v>
                </c:pt>
                <c:pt idx="15" formatCode="0.0000">
                  <c:v>1.2768404638932791E-2</c:v>
                </c:pt>
                <c:pt idx="16" formatCode="0.0000">
                  <c:v>4.5839129872142859E-3</c:v>
                </c:pt>
                <c:pt idx="17" formatCode="0.0000">
                  <c:v>1.5403291141728162E-3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CF-43A4-9ADF-6C325CC967EF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'Equations-Protected'!$BI$15:$BI$37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'Equations-Protected'!$BM$15:$BM$37</c:f>
              <c:numCache>
                <c:formatCode>General</c:formatCode>
                <c:ptCount val="23"/>
                <c:pt idx="11">
                  <c:v>3.2257277287184218E-3</c:v>
                </c:pt>
                <c:pt idx="12" formatCode="0.0000">
                  <c:v>8.3903356368484683E-4</c:v>
                </c:pt>
                <c:pt idx="13" formatCode="0.0000">
                  <c:v>2.0366945641792504E-4</c:v>
                </c:pt>
                <c:pt idx="14" formatCode="0.0000">
                  <c:v>4.5795349147787075E-5</c:v>
                </c:pt>
                <c:pt idx="15" formatCode="0.0000">
                  <c:v>9.455024891601323E-6</c:v>
                </c:pt>
                <c:pt idx="16" formatCode="0.0000">
                  <c:v>1.7740035949463395E-6</c:v>
                </c:pt>
                <c:pt idx="17" formatCode="0.0000">
                  <c:v>2.9876543360453353E-7</c:v>
                </c:pt>
                <c:pt idx="18" formatCode="0.0000">
                  <c:v>4.4495064811954662E-8</c:v>
                </c:pt>
                <c:pt idx="19" formatCode="0.0000">
                  <c:v>5.7541152424424041E-9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CF-43A4-9ADF-6C325CC96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55288"/>
        <c:axId val="1"/>
      </c:scatterChart>
      <c:valAx>
        <c:axId val="555655288"/>
        <c:scaling>
          <c:orientation val="minMax"/>
          <c:max val="7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9692187977613389"/>
              <c:y val="0.896281785157745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At val="1E-4"/>
        <c:crossBetween val="midCat"/>
        <c:majorUnit val="10"/>
      </c:valAx>
      <c:valAx>
        <c:axId val="1"/>
        <c:scaling>
          <c:logBase val="10"/>
          <c:orientation val="minMax"/>
          <c:max val="100"/>
          <c:min val="1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Conductivity, mm/hr</a:t>
                </a:r>
              </a:p>
            </c:rich>
          </c:tx>
          <c:layout>
            <c:manualLayout>
              <c:xMode val="edge"/>
              <c:yMode val="edge"/>
              <c:x val="1.7241419068895217E-2"/>
              <c:y val="0.2729941209403627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555655288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Organic Matter Effects on Tension</a:t>
            </a:r>
          </a:p>
        </c:rich>
      </c:tx>
      <c:layout>
        <c:manualLayout>
          <c:xMode val="edge"/>
          <c:yMode val="edge"/>
          <c:x val="0.29300774555572101"/>
          <c:y val="2.99625262565192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61376248612654"/>
          <c:y val="0.21161068038488301"/>
          <c:w val="0.81631520532741397"/>
          <c:h val="0.6048694669408603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'Equations-Protected'!$BD$23:$BD$44</c:f>
              <c:numCache>
                <c:formatCode>0</c:formatCode>
                <c:ptCount val="22"/>
                <c:pt idx="0">
                  <c:v>48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40</c:v>
                </c:pt>
                <c:pt idx="5">
                  <c:v>38</c:v>
                </c:pt>
                <c:pt idx="6">
                  <c:v>36</c:v>
                </c:pt>
                <c:pt idx="7">
                  <c:v>34</c:v>
                </c:pt>
                <c:pt idx="8">
                  <c:v>32</c:v>
                </c:pt>
                <c:pt idx="9">
                  <c:v>30</c:v>
                </c:pt>
                <c:pt idx="10">
                  <c:v>28</c:v>
                </c:pt>
                <c:pt idx="11">
                  <c:v>26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</c:numCache>
            </c:numRef>
          </c:xVal>
          <c:yVal>
            <c:numRef>
              <c:f>'Equations-Protected'!$BE$23:$BE$44</c:f>
              <c:numCache>
                <c:formatCode>0</c:formatCode>
                <c:ptCount val="22"/>
                <c:pt idx="5">
                  <c:v>16.229850331793806</c:v>
                </c:pt>
                <c:pt idx="6">
                  <c:v>18.274468559432222</c:v>
                </c:pt>
                <c:pt idx="7">
                  <c:v>20.716726985240378</c:v>
                </c:pt>
                <c:pt idx="8">
                  <c:v>23.664704921007893</c:v>
                </c:pt>
                <c:pt idx="9">
                  <c:v>27.265363556557539</c:v>
                </c:pt>
                <c:pt idx="10">
                  <c:v>31.722458108585137</c:v>
                </c:pt>
                <c:pt idx="11">
                  <c:v>37.32479735054067</c:v>
                </c:pt>
                <c:pt idx="12">
                  <c:v>44.492247669230593</c:v>
                </c:pt>
                <c:pt idx="13">
                  <c:v>53.853373566801423</c:v>
                </c:pt>
                <c:pt idx="14">
                  <c:v>66.382084064701303</c:v>
                </c:pt>
                <c:pt idx="15">
                  <c:v>74.291197264095388</c:v>
                </c:pt>
                <c:pt idx="16">
                  <c:v>83.65031844968567</c:v>
                </c:pt>
                <c:pt idx="17">
                  <c:v>94.829614547455648</c:v>
                </c:pt>
                <c:pt idx="18">
                  <c:v>108.32381232987588</c:v>
                </c:pt>
                <c:pt idx="19">
                  <c:v>124.80561810785443</c:v>
                </c:pt>
                <c:pt idx="20">
                  <c:v>145.20770955171378</c:v>
                </c:pt>
                <c:pt idx="21">
                  <c:v>170.8520920479078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A-4756-8CCE-1D7DA0C83D0D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'Equations-Protected'!$BD$23:$BD$44</c:f>
              <c:numCache>
                <c:formatCode>0</c:formatCode>
                <c:ptCount val="22"/>
                <c:pt idx="0">
                  <c:v>48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40</c:v>
                </c:pt>
                <c:pt idx="5">
                  <c:v>38</c:v>
                </c:pt>
                <c:pt idx="6">
                  <c:v>36</c:v>
                </c:pt>
                <c:pt idx="7">
                  <c:v>34</c:v>
                </c:pt>
                <c:pt idx="8">
                  <c:v>32</c:v>
                </c:pt>
                <c:pt idx="9">
                  <c:v>30</c:v>
                </c:pt>
                <c:pt idx="10">
                  <c:v>28</c:v>
                </c:pt>
                <c:pt idx="11">
                  <c:v>26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</c:numCache>
            </c:numRef>
          </c:xVal>
          <c:yVal>
            <c:numRef>
              <c:f>'Equations-Protected'!$BF$23:$BF$44</c:f>
              <c:numCache>
                <c:formatCode>0</c:formatCode>
                <c:ptCount val="22"/>
                <c:pt idx="4">
                  <c:v>15.447162600450485</c:v>
                </c:pt>
                <c:pt idx="5">
                  <c:v>18.997377754084948</c:v>
                </c:pt>
                <c:pt idx="6">
                  <c:v>23.626391061366206</c:v>
                </c:pt>
                <c:pt idx="7">
                  <c:v>29.751963103559824</c:v>
                </c:pt>
                <c:pt idx="8">
                  <c:v>37.993145316178371</c:v>
                </c:pt>
                <c:pt idx="9">
                  <c:v>49.289047622870193</c:v>
                </c:pt>
                <c:pt idx="10">
                  <c:v>65.102521625014504</c:v>
                </c:pt>
                <c:pt idx="11">
                  <c:v>87.781857273445539</c:v>
                </c:pt>
                <c:pt idx="12">
                  <c:v>121.22912131300605</c:v>
                </c:pt>
                <c:pt idx="13">
                  <c:v>172.19297006115593</c:v>
                </c:pt>
                <c:pt idx="14">
                  <c:v>252.90650265440664</c:v>
                </c:pt>
                <c:pt idx="15">
                  <c:v>311.03190221161628</c:v>
                </c:pt>
                <c:pt idx="16">
                  <c:v>386.81977319907287</c:v>
                </c:pt>
                <c:pt idx="17">
                  <c:v>487.1098421275654</c:v>
                </c:pt>
                <c:pt idx="18">
                  <c:v>622.0374417807385</c:v>
                </c:pt>
                <c:pt idx="19">
                  <c:v>806.9780176395027</c:v>
                </c:pt>
                <c:pt idx="20">
                  <c:v>1065.8819023297606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0A-4756-8CCE-1D7DA0C83D0D}"/>
            </c:ext>
          </c:extLst>
        </c:ser>
        <c:ser>
          <c:idx val="2"/>
          <c:order val="2"/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'Equations-Protected'!$BD$23:$BD$44</c:f>
              <c:numCache>
                <c:formatCode>0</c:formatCode>
                <c:ptCount val="22"/>
                <c:pt idx="0">
                  <c:v>48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40</c:v>
                </c:pt>
                <c:pt idx="5">
                  <c:v>38</c:v>
                </c:pt>
                <c:pt idx="6">
                  <c:v>36</c:v>
                </c:pt>
                <c:pt idx="7">
                  <c:v>34</c:v>
                </c:pt>
                <c:pt idx="8">
                  <c:v>32</c:v>
                </c:pt>
                <c:pt idx="9">
                  <c:v>30</c:v>
                </c:pt>
                <c:pt idx="10">
                  <c:v>28</c:v>
                </c:pt>
                <c:pt idx="11">
                  <c:v>26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</c:numCache>
            </c:numRef>
          </c:xVal>
          <c:yVal>
            <c:numRef>
              <c:f>'Equations-Protected'!$BG$23:$BG$44</c:f>
              <c:numCache>
                <c:formatCode>0</c:formatCode>
                <c:ptCount val="22"/>
                <c:pt idx="2">
                  <c:v>6.9951107839453037</c:v>
                </c:pt>
                <c:pt idx="3">
                  <c:v>9.6646375905348236</c:v>
                </c:pt>
                <c:pt idx="4">
                  <c:v>13.565241943793151</c:v>
                </c:pt>
                <c:pt idx="5">
                  <c:v>19.374192735367856</c:v>
                </c:pt>
                <c:pt idx="6">
                  <c:v>28.209215945160793</c:v>
                </c:pt>
                <c:pt idx="7">
                  <c:v>41.964998013490018</c:v>
                </c:pt>
                <c:pt idx="8">
                  <c:v>63.95049859967763</c:v>
                </c:pt>
                <c:pt idx="9">
                  <c:v>100.14107978969797</c:v>
                </c:pt>
                <c:pt idx="10">
                  <c:v>161.74215254443058</c:v>
                </c:pt>
                <c:pt idx="11">
                  <c:v>270.6891410554544</c:v>
                </c:pt>
                <c:pt idx="12">
                  <c:v>472.09419554742942</c:v>
                </c:pt>
                <c:pt idx="13">
                  <c:v>864.20538509213213</c:v>
                </c:pt>
                <c:pt idx="14">
                  <c:v>1675.9070013315416</c:v>
                </c:pt>
                <c:pt idx="15">
                  <c:v>2393.569195808273</c:v>
                </c:pt>
                <c:pt idx="16">
                  <c:v>3485.0850947188364</c:v>
                </c:pt>
                <c:pt idx="17">
                  <c:v>5184.5322238319359</c:v>
                </c:pt>
                <c:pt idx="18">
                  <c:v>7900.713366257447</c:v>
                </c:pt>
                <c:pt idx="19">
                  <c:v>12371.849867170644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0A-4756-8CCE-1D7DA0C83D0D}"/>
            </c:ext>
          </c:extLst>
        </c:ser>
        <c:ser>
          <c:idx val="3"/>
          <c:order val="3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'Equations-Protected'!$BD$23:$BD$44</c:f>
              <c:numCache>
                <c:formatCode>0</c:formatCode>
                <c:ptCount val="22"/>
                <c:pt idx="0">
                  <c:v>48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40</c:v>
                </c:pt>
                <c:pt idx="5">
                  <c:v>38</c:v>
                </c:pt>
                <c:pt idx="6">
                  <c:v>36</c:v>
                </c:pt>
                <c:pt idx="7">
                  <c:v>34</c:v>
                </c:pt>
                <c:pt idx="8">
                  <c:v>32</c:v>
                </c:pt>
                <c:pt idx="9">
                  <c:v>30</c:v>
                </c:pt>
                <c:pt idx="10">
                  <c:v>28</c:v>
                </c:pt>
                <c:pt idx="11">
                  <c:v>26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</c:numCache>
            </c:numRef>
          </c:xVal>
          <c:yVal>
            <c:numRef>
              <c:f>'Equations-Protected'!$BH$23:$BH$44</c:f>
              <c:numCache>
                <c:formatCode>0</c:formatCode>
                <c:ptCount val="22"/>
                <c:pt idx="1">
                  <c:v>16.386591721415723</c:v>
                </c:pt>
                <c:pt idx="2">
                  <c:v>28.31084597980394</c:v>
                </c:pt>
                <c:pt idx="3">
                  <c:v>50.172507163058533</c:v>
                </c:pt>
                <c:pt idx="4">
                  <c:v>91.433646775129048</c:v>
                </c:pt>
                <c:pt idx="5">
                  <c:v>171.83758660439585</c:v>
                </c:pt>
                <c:pt idx="6">
                  <c:v>334.15563229948543</c:v>
                </c:pt>
                <c:pt idx="7">
                  <c:v>674.98288214821912</c:v>
                </c:pt>
                <c:pt idx="8">
                  <c:v>1422.8314017845553</c:v>
                </c:pt>
                <c:pt idx="9">
                  <c:v>3147.1861344512204</c:v>
                </c:pt>
                <c:pt idx="10">
                  <c:v>7353.3772466433429</c:v>
                </c:pt>
                <c:pt idx="11">
                  <c:v>18296.8558238306</c:v>
                </c:pt>
                <c:pt idx="12">
                  <c:v>48974.479497367916</c:v>
                </c:pt>
                <c:pt idx="13">
                  <c:v>142820.41079302851</c:v>
                </c:pt>
                <c:pt idx="14">
                  <c:v>461257.533669047</c:v>
                </c:pt>
                <c:pt idx="15">
                  <c:v>866873.23741685203</c:v>
                </c:pt>
                <c:pt idx="16">
                  <c:v>1685723.0161140945</c:v>
                </c:pt>
                <c:pt idx="17">
                  <c:v>3405102.5029573822</c:v>
                </c:pt>
                <c:pt idx="18">
                  <c:v>7177792.0531606367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0A-4756-8CCE-1D7DA0C83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55616"/>
        <c:axId val="1"/>
      </c:scatterChart>
      <c:valAx>
        <c:axId val="555655616"/>
        <c:scaling>
          <c:orientation val="minMax"/>
          <c:max val="5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7502777948084635"/>
              <c:y val="0.916667483557939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At val="10"/>
        <c:crossBetween val="midCat"/>
        <c:majorUnit val="5"/>
        <c:minorUnit val="2"/>
      </c:valAx>
      <c:valAx>
        <c:axId val="1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Tension, kPa</a:t>
                </a:r>
              </a:p>
            </c:rich>
          </c:tx>
          <c:layout>
            <c:manualLayout>
              <c:xMode val="edge"/>
              <c:yMode val="edge"/>
              <c:x val="1.6648302721892799E-2"/>
              <c:y val="0.3951313541560879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555655616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 orientation="landscape" horizontalDpi="-3" verticalDpi="0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Density Effects on Conductivity </a:t>
            </a:r>
          </a:p>
        </c:rich>
      </c:tx>
      <c:layout>
        <c:manualLayout>
          <c:xMode val="edge"/>
          <c:yMode val="edge"/>
          <c:x val="0.3117568242840198"/>
          <c:y val="3.1782127645003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14398943196828"/>
          <c:y val="0.17366628830874006"/>
          <c:w val="0.8018494055482166"/>
          <c:h val="0.6503972758229285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'Equations-Protected'!$BO$20:$BO$38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'Equations-Protected'!$BP$20:$BP$38</c:f>
              <c:numCache>
                <c:formatCode>0.0</c:formatCode>
                <c:ptCount val="19"/>
                <c:pt idx="0">
                  <c:v>25.043627272756698</c:v>
                </c:pt>
                <c:pt idx="1">
                  <c:v>18.339034689289761</c:v>
                </c:pt>
                <c:pt idx="2">
                  <c:v>11.544186800733005</c:v>
                </c:pt>
                <c:pt idx="3">
                  <c:v>7.1308839324565811</c:v>
                </c:pt>
                <c:pt idx="4">
                  <c:v>4.3153674232388557</c:v>
                </c:pt>
                <c:pt idx="5">
                  <c:v>2.5538453475831608</c:v>
                </c:pt>
                <c:pt idx="6">
                  <c:v>1.4749294430325441</c:v>
                </c:pt>
                <c:pt idx="7">
                  <c:v>0.82930251304899372</c:v>
                </c:pt>
                <c:pt idx="8">
                  <c:v>0.45271588181167832</c:v>
                </c:pt>
                <c:pt idx="9">
                  <c:v>0.2391782097609618</c:v>
                </c:pt>
                <c:pt idx="10">
                  <c:v>0.12183570482790193</c:v>
                </c:pt>
                <c:pt idx="11">
                  <c:v>5.957480332055156E-2</c:v>
                </c:pt>
                <c:pt idx="12">
                  <c:v>2.7815778843141716E-2</c:v>
                </c:pt>
                <c:pt idx="13">
                  <c:v>1.2322263594898242E-2</c:v>
                </c:pt>
                <c:pt idx="14">
                  <c:v>5.1389449442117386E-3</c:v>
                </c:pt>
                <c:pt idx="15">
                  <c:v>1.9982087690722217E-3</c:v>
                </c:pt>
                <c:pt idx="16">
                  <c:v>7.1563584777588069E-4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3-4D6D-A2D8-674D4EC933BC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'Equations-Protected'!$BO$20:$BO$38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'Equations-Protected'!$BQ$20:$BQ$38</c:f>
              <c:numCache>
                <c:formatCode>0.0</c:formatCode>
                <c:ptCount val="19"/>
                <c:pt idx="0">
                  <c:v>12.141446393783953</c:v>
                </c:pt>
                <c:pt idx="1">
                  <c:v>8.8598081743549244</c:v>
                </c:pt>
                <c:pt idx="2">
                  <c:v>5.5481137151608797</c:v>
                </c:pt>
                <c:pt idx="3">
                  <c:v>3.4085292776126903</c:v>
                </c:pt>
                <c:pt idx="4">
                  <c:v>2.0510805101370009</c:v>
                </c:pt>
                <c:pt idx="5">
                  <c:v>1.2066782344823672</c:v>
                </c:pt>
                <c:pt idx="6">
                  <c:v>0.69259699016441734</c:v>
                </c:pt>
                <c:pt idx="7">
                  <c:v>0.38690438868892107</c:v>
                </c:pt>
                <c:pt idx="8">
                  <c:v>0.20977470317076707</c:v>
                </c:pt>
                <c:pt idx="9">
                  <c:v>0.11003363297820933</c:v>
                </c:pt>
                <c:pt idx="10">
                  <c:v>5.5625803228133368E-2</c:v>
                </c:pt>
                <c:pt idx="11">
                  <c:v>2.698124329674214E-2</c:v>
                </c:pt>
                <c:pt idx="12">
                  <c:v>1.2489989680379886E-2</c:v>
                </c:pt>
                <c:pt idx="13">
                  <c:v>5.4824607260835437E-3</c:v>
                </c:pt>
                <c:pt idx="14">
                  <c:v>2.2640065132010639E-3</c:v>
                </c:pt>
                <c:pt idx="15">
                  <c:v>8.7100446568229458E-4</c:v>
                </c:pt>
                <c:pt idx="16">
                  <c:v>3.083506243525358E-4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3-4D6D-A2D8-674D4EC933BC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'Equations-Protected'!$BO$20:$BO$38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'Equations-Protected'!$BR$20:$BR$38</c:f>
              <c:numCache>
                <c:formatCode>0.0</c:formatCode>
                <c:ptCount val="19"/>
                <c:pt idx="0">
                  <c:v>4.558694484951423</c:v>
                </c:pt>
                <c:pt idx="1">
                  <c:v>3.3143725721800479</c:v>
                </c:pt>
                <c:pt idx="2">
                  <c:v>2.0642198463781791</c:v>
                </c:pt>
                <c:pt idx="3">
                  <c:v>1.2609985801750192</c:v>
                </c:pt>
                <c:pt idx="4">
                  <c:v>0.75433178803508183</c:v>
                </c:pt>
                <c:pt idx="5">
                  <c:v>0.44105134367180593</c:v>
                </c:pt>
                <c:pt idx="6">
                  <c:v>0.25151937731289464</c:v>
                </c:pt>
                <c:pt idx="7">
                  <c:v>0.13955670695577072</c:v>
                </c:pt>
                <c:pt idx="8">
                  <c:v>7.5128609669685514E-2</c:v>
                </c:pt>
                <c:pt idx="9">
                  <c:v>3.9112493268458191E-2</c:v>
                </c:pt>
                <c:pt idx="10">
                  <c:v>1.9616324959359152E-2</c:v>
                </c:pt>
                <c:pt idx="11">
                  <c:v>9.4350776108034426E-3</c:v>
                </c:pt>
                <c:pt idx="12">
                  <c:v>4.3286414808002271E-3</c:v>
                </c:pt>
                <c:pt idx="13">
                  <c:v>1.8819250734118547E-3</c:v>
                </c:pt>
                <c:pt idx="14">
                  <c:v>7.6918907908050569E-4</c:v>
                </c:pt>
                <c:pt idx="15">
                  <c:v>2.9264855277530254E-4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63-4D6D-A2D8-674D4EC933BC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'Equations-Protected'!$BO$20:$BO$38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'Equations-Protected'!$BS$20:$BS$38</c:f>
              <c:numCache>
                <c:formatCode>0.0</c:formatCode>
                <c:ptCount val="19"/>
                <c:pt idx="0">
                  <c:v>0.99723754689836819</c:v>
                </c:pt>
                <c:pt idx="1">
                  <c:v>0.72226063565323995</c:v>
                </c:pt>
                <c:pt idx="2">
                  <c:v>0.44727489119340375</c:v>
                </c:pt>
                <c:pt idx="3">
                  <c:v>0.27161772540020068</c:v>
                </c:pt>
                <c:pt idx="4">
                  <c:v>0.16148093356182561</c:v>
                </c:pt>
                <c:pt idx="5">
                  <c:v>9.380888325259186E-2</c:v>
                </c:pt>
                <c:pt idx="6">
                  <c:v>5.3136356779577738E-2</c:v>
                </c:pt>
                <c:pt idx="7">
                  <c:v>2.9274760146012425E-2</c:v>
                </c:pt>
                <c:pt idx="8">
                  <c:v>1.5642724394539453E-2</c:v>
                </c:pt>
                <c:pt idx="9">
                  <c:v>8.0800113853484665E-3</c:v>
                </c:pt>
                <c:pt idx="10">
                  <c:v>4.0189125403382545E-3</c:v>
                </c:pt>
                <c:pt idx="11">
                  <c:v>1.9160735343759356E-3</c:v>
                </c:pt>
                <c:pt idx="12">
                  <c:v>8.7085772820830448E-4</c:v>
                </c:pt>
                <c:pt idx="13">
                  <c:v>3.7483992176318783E-4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63-4D6D-A2D8-674D4EC93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54960"/>
        <c:axId val="1"/>
      </c:scatterChart>
      <c:valAx>
        <c:axId val="5556549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 / Saturation</a:t>
                </a:r>
              </a:p>
            </c:rich>
          </c:tx>
          <c:layout>
            <c:manualLayout>
              <c:xMode val="edge"/>
              <c:yMode val="edge"/>
              <c:x val="0.45508569596187631"/>
              <c:y val="0.90805909131550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At val="1E-4"/>
        <c:crossBetween val="midCat"/>
      </c:valAx>
      <c:valAx>
        <c:axId val="1"/>
        <c:scaling>
          <c:logBase val="10"/>
          <c:orientation val="minMax"/>
          <c:max val="100"/>
          <c:min val="1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Conductivity, mm/hr</a:t>
                </a:r>
              </a:p>
            </c:rich>
          </c:tx>
          <c:layout>
            <c:manualLayout>
              <c:xMode val="edge"/>
              <c:yMode val="edge"/>
              <c:x val="1.8494052394154397E-2"/>
              <c:y val="0.3178208008583478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555654960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Moisture vrs. Conductivity</a:t>
            </a:r>
          </a:p>
        </c:rich>
      </c:tx>
      <c:layout>
        <c:manualLayout>
          <c:xMode val="edge"/>
          <c:yMode val="edge"/>
          <c:x val="0.35351801567483421"/>
          <c:y val="3.87666545459313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59869678956305"/>
          <c:y val="0.13568305286868954"/>
          <c:w val="0.82006966600304687"/>
          <c:h val="0.6881069109769255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'Equations-Protected'!$BI$17:$BI$37</c:f>
              <c:numCache>
                <c:formatCode>0</c:formatCode>
                <c:ptCount val="21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</c:numCache>
            </c:numRef>
          </c:xVal>
          <c:yVal>
            <c:numRef>
              <c:f>'Equations-Protected'!$BJ$17:$BJ$37</c:f>
              <c:numCache>
                <c:formatCode>General</c:formatCode>
                <c:ptCount val="21"/>
                <c:pt idx="9">
                  <c:v>1.2786556378198501</c:v>
                </c:pt>
                <c:pt idx="10" formatCode="0.0000">
                  <c:v>0.89162883481131838</c:v>
                </c:pt>
                <c:pt idx="11" formatCode="0.0000">
                  <c:v>0.61035424837874575</c:v>
                </c:pt>
                <c:pt idx="12" formatCode="0.0000">
                  <c:v>0.40933436048861699</c:v>
                </c:pt>
                <c:pt idx="13" formatCode="0.0000">
                  <c:v>0.2683210083623947</c:v>
                </c:pt>
                <c:pt idx="14" formatCode="0.0000">
                  <c:v>0.17143834264987651</c:v>
                </c:pt>
                <c:pt idx="15" formatCode="0.0000">
                  <c:v>0.10641464241036659</c:v>
                </c:pt>
                <c:pt idx="16" formatCode="0.0000">
                  <c:v>6.391468320522084E-2</c:v>
                </c:pt>
                <c:pt idx="17" formatCode="0.0000">
                  <c:v>3.6964542779758199E-2</c:v>
                </c:pt>
                <c:pt idx="18" formatCode="0.0000">
                  <c:v>2.0460924115776404E-2</c:v>
                </c:pt>
                <c:pt idx="19" formatCode="0.0000">
                  <c:v>1.0757278829622909E-2</c:v>
                </c:pt>
                <c:pt idx="20" formatCode="0.0000">
                  <c:v>5.3192258782451792E-3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7-4939-ABCE-6A08FF1A8E1A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'Equations-Protected'!$BI$17:$BI$37</c:f>
              <c:numCache>
                <c:formatCode>0</c:formatCode>
                <c:ptCount val="21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</c:numCache>
            </c:numRef>
          </c:xVal>
          <c:yVal>
            <c:numRef>
              <c:f>'Equations-Protected'!$BK$17:$BK$37</c:f>
              <c:numCache>
                <c:formatCode>General</c:formatCode>
                <c:ptCount val="21"/>
                <c:pt idx="8">
                  <c:v>3.3976270300272464</c:v>
                </c:pt>
                <c:pt idx="9">
                  <c:v>2.0304735690487599</c:v>
                </c:pt>
                <c:pt idx="10" formatCode="0.0000">
                  <c:v>1.1833371244593118</c:v>
                </c:pt>
                <c:pt idx="11" formatCode="0.0000">
                  <c:v>0.67079439421390841</c:v>
                </c:pt>
                <c:pt idx="12" formatCode="0.0000">
                  <c:v>0.36875564556106322</c:v>
                </c:pt>
                <c:pt idx="13" formatCode="0.0000">
                  <c:v>0.19589865283684277</c:v>
                </c:pt>
                <c:pt idx="14" formatCode="0.0000">
                  <c:v>0.10015332898891266</c:v>
                </c:pt>
                <c:pt idx="15" formatCode="0.0000">
                  <c:v>4.9033044825955191E-2</c:v>
                </c:pt>
                <c:pt idx="16" formatCode="0.0000">
                  <c:v>2.2850958674594159E-2</c:v>
                </c:pt>
                <c:pt idx="17" formatCode="0.0000">
                  <c:v>1.0063208364173851E-2</c:v>
                </c:pt>
                <c:pt idx="18" formatCode="0.0000">
                  <c:v>4.1499776929806425E-3</c:v>
                </c:pt>
                <c:pt idx="19" formatCode="0.0000">
                  <c:v>1.5843938949853227E-3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77-4939-ABCE-6A08FF1A8E1A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'Equations-Protected'!$BI$17:$BI$37</c:f>
              <c:numCache>
                <c:formatCode>0</c:formatCode>
                <c:ptCount val="21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</c:numCache>
            </c:numRef>
          </c:xVal>
          <c:yVal>
            <c:numRef>
              <c:f>'Equations-Protected'!$BL$17:$BL$37</c:f>
              <c:numCache>
                <c:formatCode>General</c:formatCode>
                <c:ptCount val="21"/>
                <c:pt idx="7">
                  <c:v>2.1108489173417109</c:v>
                </c:pt>
                <c:pt idx="8">
                  <c:v>0.99596284133026203</c:v>
                </c:pt>
                <c:pt idx="9">
                  <c:v>0.45378592841839871</c:v>
                </c:pt>
                <c:pt idx="10" formatCode="0.0000">
                  <c:v>0.19897530808751615</c:v>
                </c:pt>
                <c:pt idx="11" formatCode="0.0000">
                  <c:v>8.3633035153624344E-2</c:v>
                </c:pt>
                <c:pt idx="12" formatCode="0.0000">
                  <c:v>3.3542835428103039E-2</c:v>
                </c:pt>
                <c:pt idx="13" formatCode="0.0000">
                  <c:v>1.2768404638932791E-2</c:v>
                </c:pt>
                <c:pt idx="14" formatCode="0.0000">
                  <c:v>4.5839129872142859E-3</c:v>
                </c:pt>
                <c:pt idx="15" formatCode="0.0000">
                  <c:v>1.5403291141728162E-3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77-4939-ABCE-6A08FF1A8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57256"/>
        <c:axId val="1"/>
      </c:scatterChart>
      <c:valAx>
        <c:axId val="555657256"/>
        <c:scaling>
          <c:orientation val="minMax"/>
          <c:max val="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9711685741785422"/>
              <c:y val="0.916300997809218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At val="1E-3"/>
        <c:crossBetween val="midCat"/>
        <c:majorUnit val="10"/>
      </c:valAx>
      <c:valAx>
        <c:axId val="1"/>
        <c:scaling>
          <c:logBase val="10"/>
          <c:orientation val="minMax"/>
          <c:min val="1E-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Conductivity, mm/hr</a:t>
                </a:r>
              </a:p>
            </c:rich>
          </c:tx>
          <c:layout>
            <c:manualLayout>
              <c:xMode val="edge"/>
              <c:yMode val="edge"/>
              <c:x val="2.7681678366863426E-2"/>
              <c:y val="0.343612874178456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555657256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 orientation="landscape" horizontalDpi="-3" vertic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Ksat Dens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2418131413279939E-2"/>
                  <c:y val="-0.575918004239854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Equations!$AE$36:$AE$40</c:f>
              <c:numCache>
                <c:formatCode>0.00</c:formatCode>
                <c:ptCount val="5"/>
                <c:pt idx="0" formatCode="General">
                  <c:v>0.9</c:v>
                </c:pt>
                <c:pt idx="1">
                  <c:v>0.95</c:v>
                </c:pt>
                <c:pt idx="2">
                  <c:v>1</c:v>
                </c:pt>
                <c:pt idx="3">
                  <c:v>1.05</c:v>
                </c:pt>
                <c:pt idx="4">
                  <c:v>1.1000000000000001</c:v>
                </c:pt>
              </c:numCache>
            </c:numRef>
          </c:xVal>
          <c:yVal>
            <c:numRef>
              <c:f>Equations!$AG$36:$AG$40</c:f>
              <c:numCache>
                <c:formatCode>General</c:formatCode>
                <c:ptCount val="5"/>
                <c:pt idx="0">
                  <c:v>5.4002999999999997</c:v>
                </c:pt>
                <c:pt idx="1">
                  <c:v>2.3147000000000002</c:v>
                </c:pt>
                <c:pt idx="2">
                  <c:v>0</c:v>
                </c:pt>
                <c:pt idx="3">
                  <c:v>-1.6371000000000002</c:v>
                </c:pt>
                <c:pt idx="4">
                  <c:v>-2.6920000000000006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1-413C-A5C9-76351880B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15679"/>
        <c:axId val="249818079"/>
      </c:scatterChart>
      <c:valAx>
        <c:axId val="249815679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9818079"/>
        <c:crosses val="autoZero"/>
        <c:crossBetween val="midCat"/>
      </c:valAx>
      <c:valAx>
        <c:axId val="2498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981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Ksat OM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163531291317995E-2"/>
                  <c:y val="-0.154355845970212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Equations!$AE$28:$AE$34</c:f>
              <c:numCache>
                <c:formatCode>0.00</c:formatCode>
                <c:ptCount val="7"/>
                <c:pt idx="0" formatCode="General">
                  <c:v>-1.5</c:v>
                </c:pt>
                <c:pt idx="1">
                  <c:v>-1</c:v>
                </c:pt>
                <c:pt idx="2">
                  <c:v>-0.5</c:v>
                </c:pt>
                <c:pt idx="3" formatCode="General">
                  <c:v>0</c:v>
                </c:pt>
                <c:pt idx="4">
                  <c:v>0.5</c:v>
                </c:pt>
                <c:pt idx="5">
                  <c:v>1</c:v>
                </c:pt>
                <c:pt idx="6" formatCode="General">
                  <c:v>1.5</c:v>
                </c:pt>
              </c:numCache>
            </c:numRef>
          </c:xVal>
          <c:yVal>
            <c:numRef>
              <c:f>Equations!$AF$28:$AF$34</c:f>
              <c:numCache>
                <c:formatCode>General</c:formatCode>
                <c:ptCount val="7"/>
                <c:pt idx="0">
                  <c:v>0.95220000000000005</c:v>
                </c:pt>
                <c:pt idx="1">
                  <c:v>0.96630000000000005</c:v>
                </c:pt>
                <c:pt idx="2">
                  <c:v>0.98240000000000005</c:v>
                </c:pt>
                <c:pt idx="3">
                  <c:v>1</c:v>
                </c:pt>
                <c:pt idx="4">
                  <c:v>1.0188999999999999</c:v>
                </c:pt>
                <c:pt idx="5">
                  <c:v>1.0387</c:v>
                </c:pt>
                <c:pt idx="6">
                  <c:v>1.0593999999999999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5-433C-83DC-54C4102C5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19151"/>
        <c:axId val="521820111"/>
      </c:scatterChart>
      <c:valAx>
        <c:axId val="5218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820111"/>
        <c:crosses val="autoZero"/>
        <c:crossBetween val="midCat"/>
      </c:valAx>
      <c:valAx>
        <c:axId val="5218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81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pore OM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7800553521525863E-2"/>
                  <c:y val="-0.59163109185499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Equations!$AI$28:$AI$34</c:f>
              <c:numCache>
                <c:formatCode>0.00</c:formatCode>
                <c:ptCount val="7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 formatCode="General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</c:numCache>
            </c:numRef>
          </c:xVal>
          <c:yVal>
            <c:numRef>
              <c:f>Equations!$AK$28:$AK$34</c:f>
              <c:numCache>
                <c:formatCode>General</c:formatCode>
                <c:ptCount val="7"/>
                <c:pt idx="0">
                  <c:v>4.3700000000000003E-2</c:v>
                </c:pt>
                <c:pt idx="1">
                  <c:v>2.8799999999999999E-2</c:v>
                </c:pt>
                <c:pt idx="2">
                  <c:v>1.43E-2</c:v>
                </c:pt>
                <c:pt idx="3" formatCode="0.0000">
                  <c:v>0</c:v>
                </c:pt>
                <c:pt idx="4">
                  <c:v>-1.4E-2</c:v>
                </c:pt>
                <c:pt idx="5">
                  <c:v>-2.76E-2</c:v>
                </c:pt>
                <c:pt idx="6">
                  <c:v>-4.1000000000000002E-2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5-4CB2-A420-D45FB7D3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98367"/>
        <c:axId val="296099327"/>
      </c:scatterChart>
      <c:valAx>
        <c:axId val="296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6099327"/>
        <c:crosses val="autoZero"/>
        <c:crossBetween val="midCat"/>
      </c:valAx>
      <c:valAx>
        <c:axId val="29609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609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ksat dens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978685853923432E-2"/>
                  <c:y val="9.32560513269174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Equations!$AE$36:$AE$40</c:f>
              <c:numCache>
                <c:formatCode>0.00</c:formatCode>
                <c:ptCount val="5"/>
                <c:pt idx="0" formatCode="General">
                  <c:v>0.9</c:v>
                </c:pt>
                <c:pt idx="1">
                  <c:v>0.95</c:v>
                </c:pt>
                <c:pt idx="2">
                  <c:v>1</c:v>
                </c:pt>
                <c:pt idx="3">
                  <c:v>1.05</c:v>
                </c:pt>
                <c:pt idx="4">
                  <c:v>1.1000000000000001</c:v>
                </c:pt>
              </c:numCache>
            </c:numRef>
          </c:xVal>
          <c:yVal>
            <c:numRef>
              <c:f>Equations!$AF$36:$AF$40</c:f>
              <c:numCache>
                <c:formatCode>0.0000</c:formatCode>
                <c:ptCount val="5"/>
                <c:pt idx="0">
                  <c:v>1.3594999999999999</c:v>
                </c:pt>
                <c:pt idx="1">
                  <c:v>1.1718</c:v>
                </c:pt>
                <c:pt idx="2">
                  <c:v>1</c:v>
                </c:pt>
                <c:pt idx="3">
                  <c:v>0.84399999999999997</c:v>
                </c:pt>
                <c:pt idx="4">
                  <c:v>0.70340000000000003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D-4E18-9A5C-1002CB5B2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245248"/>
        <c:axId val="1691251008"/>
      </c:scatterChart>
      <c:valAx>
        <c:axId val="1691245248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91251008"/>
        <c:crosses val="autoZero"/>
        <c:crossBetween val="midCat"/>
      </c:valAx>
      <c:valAx>
        <c:axId val="16912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9124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Pore OM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4253986498267273E-2"/>
                  <c:y val="0.185213985093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Equations!$AI$28:$AI$34</c:f>
              <c:numCache>
                <c:formatCode>0.00</c:formatCode>
                <c:ptCount val="7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 formatCode="General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</c:numCache>
            </c:numRef>
          </c:xVal>
          <c:yVal>
            <c:numRef>
              <c:f>Equations!$AJ$28:$AJ$34</c:f>
              <c:numCache>
                <c:formatCode>General</c:formatCode>
                <c:ptCount val="7"/>
                <c:pt idx="0">
                  <c:v>0.84570000000000001</c:v>
                </c:pt>
                <c:pt idx="1">
                  <c:v>0.89759999999999995</c:v>
                </c:pt>
                <c:pt idx="2">
                  <c:v>0.94910000000000005</c:v>
                </c:pt>
                <c:pt idx="3" formatCode="0.0000">
                  <c:v>1</c:v>
                </c:pt>
                <c:pt idx="4">
                  <c:v>1.0504</c:v>
                </c:pt>
                <c:pt idx="5">
                  <c:v>1.1004</c:v>
                </c:pt>
                <c:pt idx="6">
                  <c:v>1.1497999999999999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1-418C-B98A-02C7A015D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054416"/>
        <c:axId val="1741054896"/>
      </c:scatterChart>
      <c:valAx>
        <c:axId val="174105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1054896"/>
        <c:crosses val="autoZero"/>
        <c:crossBetween val="midCat"/>
      </c:valAx>
      <c:valAx>
        <c:axId val="17410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105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Pore vs Pore OM/D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8.8330927384076996E-2"/>
          <c:y val="0.14116907261592301"/>
          <c:w val="0.861738626421697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221193525785772"/>
                  <c:y val="0.4108402435096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Equations!$V$14:$V$25</c:f>
              <c:numCache>
                <c:formatCode>0.00</c:formatCode>
                <c:ptCount val="12"/>
                <c:pt idx="0">
                  <c:v>0.48464358142267505</c:v>
                </c:pt>
                <c:pt idx="1">
                  <c:v>0.47799573289443531</c:v>
                </c:pt>
                <c:pt idx="2">
                  <c:v>0.47689423148670018</c:v>
                </c:pt>
                <c:pt idx="3">
                  <c:v>0.48287845911552063</c:v>
                </c:pt>
                <c:pt idx="4">
                  <c:v>0.51145961324532296</c:v>
                </c:pt>
                <c:pt idx="5">
                  <c:v>0.52496511829108294</c:v>
                </c:pt>
                <c:pt idx="6">
                  <c:v>0.45213633434187506</c:v>
                </c:pt>
                <c:pt idx="7">
                  <c:v>0.48686173585007153</c:v>
                </c:pt>
                <c:pt idx="8">
                  <c:v>0.52832710588212295</c:v>
                </c:pt>
                <c:pt idx="9">
                  <c:v>0.53576909562067487</c:v>
                </c:pt>
                <c:pt idx="10">
                  <c:v>0.45227853963000003</c:v>
                </c:pt>
                <c:pt idx="11">
                  <c:v>0.50335894668750014</c:v>
                </c:pt>
              </c:numCache>
            </c:numRef>
          </c:xVal>
          <c:yVal>
            <c:numRef>
              <c:f>Equations!$W$14:$W$25</c:f>
              <c:numCache>
                <c:formatCode>0.00</c:formatCode>
                <c:ptCount val="12"/>
                <c:pt idx="0">
                  <c:v>0.51937854950880002</c:v>
                </c:pt>
                <c:pt idx="1">
                  <c:v>0.51468880992581645</c:v>
                </c:pt>
                <c:pt idx="2">
                  <c:v>0.51810970781069998</c:v>
                </c:pt>
                <c:pt idx="3">
                  <c:v>0.52377798468526848</c:v>
                </c:pt>
                <c:pt idx="4">
                  <c:v>0.56384106675532797</c:v>
                </c:pt>
                <c:pt idx="5">
                  <c:v>0.59142295515596799</c:v>
                </c:pt>
                <c:pt idx="6">
                  <c:v>0.47944119212000003</c:v>
                </c:pt>
                <c:pt idx="7">
                  <c:v>0.51210751553973954</c:v>
                </c:pt>
                <c:pt idx="8">
                  <c:v>0.55915143823276803</c:v>
                </c:pt>
                <c:pt idx="9">
                  <c:v>0.55420364026079993</c:v>
                </c:pt>
                <c:pt idx="10">
                  <c:v>0.46506076203000002</c:v>
                </c:pt>
                <c:pt idx="11">
                  <c:v>0.51075023268749997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8-4BA9-8F45-C15DF6785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72224"/>
        <c:axId val="1740974144"/>
      </c:scatterChart>
      <c:valAx>
        <c:axId val="17409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0974144"/>
        <c:crosses val="autoZero"/>
        <c:crossBetween val="midCat"/>
      </c:valAx>
      <c:valAx>
        <c:axId val="17409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09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Pore Dens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083114610673666E-2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Equations!$AI$36:$AI$40</c:f>
              <c:numCache>
                <c:formatCode>0.00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</c:v>
                </c:pt>
                <c:pt idx="3">
                  <c:v>1.05</c:v>
                </c:pt>
                <c:pt idx="4">
                  <c:v>1.1000000000000001</c:v>
                </c:pt>
              </c:numCache>
            </c:numRef>
          </c:xVal>
          <c:yVal>
            <c:numRef>
              <c:f>Equations!$AJ$36:$AJ$40</c:f>
              <c:numCache>
                <c:formatCode>0.0000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</c:v>
                </c:pt>
                <c:pt idx="3" formatCode="0.00">
                  <c:v>1.05</c:v>
                </c:pt>
                <c:pt idx="4" formatCode="0.00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F-40F6-8BD9-31D63F54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716640"/>
        <c:axId val="1697719040"/>
      </c:scatterChart>
      <c:valAx>
        <c:axId val="1697716640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97719040"/>
        <c:crosses val="autoZero"/>
        <c:crossBetween val="midCat"/>
      </c:valAx>
      <c:valAx>
        <c:axId val="16977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9771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Pore Dens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4818460192476"/>
                  <c:y val="2.1759259259258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Equations!$AI$36:$AI$40</c:f>
              <c:numCache>
                <c:formatCode>0.00</c:formatCode>
                <c:ptCount val="5"/>
                <c:pt idx="0">
                  <c:v>0.9</c:v>
                </c:pt>
                <c:pt idx="1">
                  <c:v>0.95</c:v>
                </c:pt>
                <c:pt idx="2">
                  <c:v>1</c:v>
                </c:pt>
                <c:pt idx="3">
                  <c:v>1.05</c:v>
                </c:pt>
                <c:pt idx="4">
                  <c:v>1.1000000000000001</c:v>
                </c:pt>
              </c:numCache>
            </c:numRef>
          </c:xVal>
          <c:yVal>
            <c:numRef>
              <c:f>Equations!$AK$36:$AK$40</c:f>
              <c:numCache>
                <c:formatCode>0.0000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0</c:v>
                </c:pt>
                <c:pt idx="3" formatCode="0.000">
                  <c:v>-0.05</c:v>
                </c:pt>
                <c:pt idx="4" formatCode="0.000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1-4D5B-8539-69FF8C33C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077616"/>
        <c:axId val="1722082896"/>
      </c:scatterChart>
      <c:valAx>
        <c:axId val="1722077616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22082896"/>
        <c:crosses val="autoZero"/>
        <c:crossBetween val="midCat"/>
      </c:valAx>
      <c:valAx>
        <c:axId val="17220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220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175111</xdr:colOff>
      <xdr:row>41</xdr:row>
      <xdr:rowOff>4482</xdr:rowOff>
    </xdr:from>
    <xdr:to>
      <xdr:col>42</xdr:col>
      <xdr:colOff>500231</xdr:colOff>
      <xdr:row>53</xdr:row>
      <xdr:rowOff>121620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0C5E5C-5ED2-974D-F925-4664D90D5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680720</xdr:colOff>
      <xdr:row>26</xdr:row>
      <xdr:rowOff>5080</xdr:rowOff>
    </xdr:from>
    <xdr:to>
      <xdr:col>26</xdr:col>
      <xdr:colOff>243840</xdr:colOff>
      <xdr:row>39</xdr:row>
      <xdr:rowOff>106680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387ECB8-5E4E-47F3-31DE-8129CC2FE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406400</xdr:colOff>
      <xdr:row>25</xdr:row>
      <xdr:rowOff>167640</xdr:rowOff>
    </xdr:from>
    <xdr:to>
      <xdr:col>11</xdr:col>
      <xdr:colOff>314960</xdr:colOff>
      <xdr:row>39</xdr:row>
      <xdr:rowOff>45720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162664D-7C2E-FF7C-30D9-B4FF39793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457200</xdr:colOff>
      <xdr:row>39</xdr:row>
      <xdr:rowOff>177800</xdr:rowOff>
    </xdr:from>
    <xdr:to>
      <xdr:col>15</xdr:col>
      <xdr:colOff>822960</xdr:colOff>
      <xdr:row>52</xdr:row>
      <xdr:rowOff>172720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D11560-E4CF-9B50-BC04-D10E16D4E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193040</xdr:colOff>
      <xdr:row>25</xdr:row>
      <xdr:rowOff>218440</xdr:rowOff>
    </xdr:from>
    <xdr:to>
      <xdr:col>21</xdr:col>
      <xdr:colOff>548640</xdr:colOff>
      <xdr:row>40</xdr:row>
      <xdr:rowOff>5080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C7B1A9D-E6A4-9DCA-6983-1AD41328C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477520</xdr:colOff>
      <xdr:row>39</xdr:row>
      <xdr:rowOff>177800</xdr:rowOff>
    </xdr:from>
    <xdr:to>
      <xdr:col>11</xdr:col>
      <xdr:colOff>284480</xdr:colOff>
      <xdr:row>53</xdr:row>
      <xdr:rowOff>5080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E8E0618-AE92-758C-2DA0-872B13320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365162</xdr:colOff>
      <xdr:row>26</xdr:row>
      <xdr:rowOff>4482</xdr:rowOff>
    </xdr:from>
    <xdr:to>
      <xdr:col>42</xdr:col>
      <xdr:colOff>682512</xdr:colOff>
      <xdr:row>40</xdr:row>
      <xdr:rowOff>24803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495B426-C0B2-79E4-922A-0411BE398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243840</xdr:colOff>
      <xdr:row>40</xdr:row>
      <xdr:rowOff>96520</xdr:rowOff>
    </xdr:from>
    <xdr:to>
      <xdr:col>21</xdr:col>
      <xdr:colOff>751840</xdr:colOff>
      <xdr:row>53</xdr:row>
      <xdr:rowOff>116840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A5E4F51-AAB5-D3D9-B4C3-661E2DAA3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863600</xdr:colOff>
      <xdr:row>40</xdr:row>
      <xdr:rowOff>86360</xdr:rowOff>
    </xdr:from>
    <xdr:to>
      <xdr:col>26</xdr:col>
      <xdr:colOff>843280</xdr:colOff>
      <xdr:row>53</xdr:row>
      <xdr:rowOff>106680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BDCFFC0-D6DE-9DE6-EF4F-A010B6802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335280</xdr:colOff>
      <xdr:row>25</xdr:row>
      <xdr:rowOff>177800</xdr:rowOff>
    </xdr:from>
    <xdr:to>
      <xdr:col>15</xdr:col>
      <xdr:colOff>670560</xdr:colOff>
      <xdr:row>38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EE4707-4432-A2AF-CB03-6019607EC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857250</xdr:colOff>
      <xdr:row>46</xdr:row>
      <xdr:rowOff>123825</xdr:rowOff>
    </xdr:from>
    <xdr:to>
      <xdr:col>63</xdr:col>
      <xdr:colOff>342900</xdr:colOff>
      <xdr:row>71</xdr:row>
      <xdr:rowOff>19050</xdr:rowOff>
    </xdr:to>
    <xdr:graphicFrame macro="">
      <xdr:nvGraphicFramePr>
        <xdr:cNvPr id="17553" name="Chart 1">
          <a:extLst>
            <a:ext uri="{FF2B5EF4-FFF2-40B4-BE49-F238E27FC236}">
              <a16:creationId xmlns:a16="http://schemas.microsoft.com/office/drawing/2014/main" id="{00000000-0008-0000-0100-000091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438150</xdr:colOff>
      <xdr:row>49</xdr:row>
      <xdr:rowOff>85725</xdr:rowOff>
    </xdr:from>
    <xdr:to>
      <xdr:col>75</xdr:col>
      <xdr:colOff>161925</xdr:colOff>
      <xdr:row>73</xdr:row>
      <xdr:rowOff>66675</xdr:rowOff>
    </xdr:to>
    <xdr:graphicFrame macro="">
      <xdr:nvGraphicFramePr>
        <xdr:cNvPr id="17554" name="Chart 2">
          <a:extLst>
            <a:ext uri="{FF2B5EF4-FFF2-40B4-BE49-F238E27FC236}">
              <a16:creationId xmlns:a16="http://schemas.microsoft.com/office/drawing/2014/main" id="{00000000-0008-0000-0100-000092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9525</xdr:colOff>
      <xdr:row>73</xdr:row>
      <xdr:rowOff>19050</xdr:rowOff>
    </xdr:from>
    <xdr:to>
      <xdr:col>61</xdr:col>
      <xdr:colOff>19050</xdr:colOff>
      <xdr:row>73</xdr:row>
      <xdr:rowOff>190500</xdr:rowOff>
    </xdr:to>
    <xdr:sp macro="" textlink="">
      <xdr:nvSpPr>
        <xdr:cNvPr id="17555" name="Line 3">
          <a:extLst>
            <a:ext uri="{FF2B5EF4-FFF2-40B4-BE49-F238E27FC236}">
              <a16:creationId xmlns:a16="http://schemas.microsoft.com/office/drawing/2014/main" id="{00000000-0008-0000-0100-000093440000}"/>
            </a:ext>
          </a:extLst>
        </xdr:cNvPr>
        <xdr:cNvSpPr>
          <a:spLocks noChangeShapeType="1"/>
        </xdr:cNvSpPr>
      </xdr:nvSpPr>
      <xdr:spPr bwMode="auto">
        <a:xfrm flipH="1" flipV="1">
          <a:off x="49349025" y="14506575"/>
          <a:ext cx="9525" cy="171450"/>
        </a:xfrm>
        <a:prstGeom prst="line">
          <a:avLst/>
        </a:prstGeom>
        <a:noFill/>
        <a:ln w="444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55</xdr:col>
      <xdr:colOff>695325</xdr:colOff>
      <xdr:row>51</xdr:row>
      <xdr:rowOff>171450</xdr:rowOff>
    </xdr:from>
    <xdr:to>
      <xdr:col>64</xdr:col>
      <xdr:colOff>133350</xdr:colOff>
      <xdr:row>80</xdr:row>
      <xdr:rowOff>47625</xdr:rowOff>
    </xdr:to>
    <xdr:graphicFrame macro="">
      <xdr:nvGraphicFramePr>
        <xdr:cNvPr id="17556" name="Chart 4">
          <a:extLst>
            <a:ext uri="{FF2B5EF4-FFF2-40B4-BE49-F238E27FC236}">
              <a16:creationId xmlns:a16="http://schemas.microsoft.com/office/drawing/2014/main" id="{00000000-0008-0000-0100-000094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733425</xdr:colOff>
      <xdr:row>54</xdr:row>
      <xdr:rowOff>123825</xdr:rowOff>
    </xdr:from>
    <xdr:to>
      <xdr:col>76</xdr:col>
      <xdr:colOff>152400</xdr:colOff>
      <xdr:row>79</xdr:row>
      <xdr:rowOff>142875</xdr:rowOff>
    </xdr:to>
    <xdr:graphicFrame macro="">
      <xdr:nvGraphicFramePr>
        <xdr:cNvPr id="17557" name="Chart 5">
          <a:extLst>
            <a:ext uri="{FF2B5EF4-FFF2-40B4-BE49-F238E27FC236}">
              <a16:creationId xmlns:a16="http://schemas.microsoft.com/office/drawing/2014/main" id="{00000000-0008-0000-0100-000095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466725</xdr:colOff>
      <xdr:row>55</xdr:row>
      <xdr:rowOff>104775</xdr:rowOff>
    </xdr:from>
    <xdr:to>
      <xdr:col>64</xdr:col>
      <xdr:colOff>704850</xdr:colOff>
      <xdr:row>81</xdr:row>
      <xdr:rowOff>152400</xdr:rowOff>
    </xdr:to>
    <xdr:graphicFrame macro="">
      <xdr:nvGraphicFramePr>
        <xdr:cNvPr id="17558" name="Chart 6">
          <a:extLst>
            <a:ext uri="{FF2B5EF4-FFF2-40B4-BE49-F238E27FC236}">
              <a16:creationId xmlns:a16="http://schemas.microsoft.com/office/drawing/2014/main" id="{00000000-0008-0000-0100-000096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 fPrintsWithSheet="0"/>
  </xdr:twoCellAnchor>
  <xdr:twoCellAnchor>
    <xdr:from>
      <xdr:col>65</xdr:col>
      <xdr:colOff>285750</xdr:colOff>
      <xdr:row>58</xdr:row>
      <xdr:rowOff>180975</xdr:rowOff>
    </xdr:from>
    <xdr:to>
      <xdr:col>76</xdr:col>
      <xdr:colOff>66675</xdr:colOff>
      <xdr:row>80</xdr:row>
      <xdr:rowOff>95250</xdr:rowOff>
    </xdr:to>
    <xdr:graphicFrame macro="">
      <xdr:nvGraphicFramePr>
        <xdr:cNvPr id="17559" name="Chart 7">
          <a:extLst>
            <a:ext uri="{FF2B5EF4-FFF2-40B4-BE49-F238E27FC236}">
              <a16:creationId xmlns:a16="http://schemas.microsoft.com/office/drawing/2014/main" id="{00000000-0008-0000-0100-000097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180975</xdr:colOff>
      <xdr:row>62</xdr:row>
      <xdr:rowOff>171450</xdr:rowOff>
    </xdr:from>
    <xdr:to>
      <xdr:col>78</xdr:col>
      <xdr:colOff>352425</xdr:colOff>
      <xdr:row>90</xdr:row>
      <xdr:rowOff>152400</xdr:rowOff>
    </xdr:to>
    <xdr:graphicFrame macro="">
      <xdr:nvGraphicFramePr>
        <xdr:cNvPr id="17560" name="Chart 8">
          <a:extLst>
            <a:ext uri="{FF2B5EF4-FFF2-40B4-BE49-F238E27FC236}">
              <a16:creationId xmlns:a16="http://schemas.microsoft.com/office/drawing/2014/main" id="{00000000-0008-0000-0100-000098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0.13483</cdr:x>
      <cdr:y>0.6239</cdr:y>
    </cdr:from>
    <cdr:to>
      <cdr:x>0.32531</cdr:x>
      <cdr:y>0.78695</cdr:y>
    </cdr:to>
    <cdr:sp macro="" textlink="">
      <cdr:nvSpPr>
        <cdr:cNvPr id="18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8606" y="3002845"/>
          <a:ext cx="1545686" cy="72423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54864" tIns="41148" rIns="54864" bIns="4114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1300"/>
            </a:lnSpc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</a:t>
          </a:r>
        </a:p>
        <a:p xmlns:a="http://schemas.openxmlformats.org/drawingml/2006/main">
          <a:pPr algn="ctr" rtl="0">
            <a:lnSpc>
              <a:spcPts val="1300"/>
            </a:lnSpc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  (S=20, C=20)</a:t>
          </a:r>
        </a:p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OM = 2.5%</a:t>
          </a:r>
        </a:p>
      </cdr:txBody>
    </cdr:sp>
  </cdr:relSizeAnchor>
  <cdr:relSizeAnchor xmlns:cdr="http://schemas.openxmlformats.org/drawingml/2006/chartDrawing">
    <cdr:from>
      <cdr:x>0.74624</cdr:x>
      <cdr:y>0.37823</cdr:y>
    </cdr:from>
    <cdr:to>
      <cdr:x>0.87576</cdr:x>
      <cdr:y>0.47552</cdr:y>
    </cdr:to>
    <cdr:sp macro="" textlink="">
      <cdr:nvSpPr>
        <cdr:cNvPr id="184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61124" y="1913619"/>
          <a:ext cx="1052172" cy="4304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54864" tIns="41148" rIns="54864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Salinity, dS/m</a:t>
          </a:r>
        </a:p>
      </cdr:txBody>
    </cdr:sp>
  </cdr:relSizeAnchor>
  <cdr:relSizeAnchor xmlns:cdr="http://schemas.openxmlformats.org/drawingml/2006/chartDrawing">
    <cdr:from>
      <cdr:x>0.78595</cdr:x>
      <cdr:y>0.76714</cdr:y>
    </cdr:from>
    <cdr:to>
      <cdr:x>0.81877</cdr:x>
      <cdr:y>0.81627</cdr:y>
    </cdr:to>
    <cdr:sp macro="" textlink="">
      <cdr:nvSpPr>
        <cdr:cNvPr id="1843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82896" y="3636410"/>
          <a:ext cx="266497" cy="2215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54864" tIns="41148" rIns="54864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cdr:txBody>
    </cdr:sp>
  </cdr:relSizeAnchor>
  <cdr:relSizeAnchor xmlns:cdr="http://schemas.openxmlformats.org/drawingml/2006/chartDrawing">
    <cdr:from>
      <cdr:x>0.78595</cdr:x>
      <cdr:y>0.57257</cdr:y>
    </cdr:from>
    <cdr:to>
      <cdr:x>0.81877</cdr:x>
      <cdr:y>0.62268</cdr:y>
    </cdr:to>
    <cdr:sp macro="" textlink="">
      <cdr:nvSpPr>
        <cdr:cNvPr id="1843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82896" y="2774440"/>
          <a:ext cx="266497" cy="22266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54864" tIns="41148" rIns="54864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cdr:txBody>
    </cdr:sp>
  </cdr:relSizeAnchor>
  <cdr:relSizeAnchor xmlns:cdr="http://schemas.openxmlformats.org/drawingml/2006/chartDrawing">
    <cdr:from>
      <cdr:x>0.78595</cdr:x>
      <cdr:y>0.49947</cdr:y>
    </cdr:from>
    <cdr:to>
      <cdr:x>0.81877</cdr:x>
      <cdr:y>0.54935</cdr:y>
    </cdr:to>
    <cdr:sp macro="" textlink="">
      <cdr:nvSpPr>
        <cdr:cNvPr id="1843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82896" y="2450771"/>
          <a:ext cx="266497" cy="22151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54864" tIns="41148" rIns="54864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</cdr:txBody>
    </cdr:sp>
  </cdr:relSizeAnchor>
  <cdr:relSizeAnchor xmlns:cdr="http://schemas.openxmlformats.org/drawingml/2006/chartDrawing">
    <cdr:from>
      <cdr:x>0.78595</cdr:x>
      <cdr:y>0.63929</cdr:y>
    </cdr:from>
    <cdr:to>
      <cdr:x>0.81334</cdr:x>
      <cdr:y>0.68966</cdr:y>
    </cdr:to>
    <cdr:sp macro="" textlink="">
      <cdr:nvSpPr>
        <cdr:cNvPr id="1843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82896" y="3070563"/>
          <a:ext cx="225042" cy="2215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54864" tIns="41148" rIns="54864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0.65578</cdr:x>
      <cdr:y>0.17377</cdr:y>
    </cdr:from>
    <cdr:to>
      <cdr:x>0.77434</cdr:x>
      <cdr:y>0.24267</cdr:y>
    </cdr:to>
    <cdr:sp macro="" textlink="">
      <cdr:nvSpPr>
        <cdr:cNvPr id="194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2714" y="1080370"/>
          <a:ext cx="906368" cy="28518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41148" rIns="45720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Bulk Den.</a:t>
          </a:r>
        </a:p>
      </cdr:txBody>
    </cdr:sp>
  </cdr:relSizeAnchor>
  <cdr:relSizeAnchor xmlns:cdr="http://schemas.openxmlformats.org/drawingml/2006/chartDrawing">
    <cdr:from>
      <cdr:x>0.65726</cdr:x>
      <cdr:y>0.724</cdr:y>
    </cdr:from>
    <cdr:to>
      <cdr:x>0.77286</cdr:x>
      <cdr:y>0.78728</cdr:y>
    </cdr:to>
    <cdr:sp macro="" textlink="">
      <cdr:nvSpPr>
        <cdr:cNvPr id="1945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03722" y="3383150"/>
          <a:ext cx="884351" cy="26609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41148" rIns="45720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Gravel, %v</a:t>
          </a:r>
        </a:p>
      </cdr:txBody>
    </cdr:sp>
  </cdr:relSizeAnchor>
  <cdr:relSizeAnchor xmlns:cdr="http://schemas.openxmlformats.org/drawingml/2006/chartDrawing">
    <cdr:from>
      <cdr:x>0.45538</cdr:x>
      <cdr:y>0.45916</cdr:y>
    </cdr:from>
    <cdr:to>
      <cdr:x>0.59218</cdr:x>
      <cdr:y>0.5156</cdr:y>
    </cdr:to>
    <cdr:sp macro="" textlink="">
      <cdr:nvSpPr>
        <cdr:cNvPr id="1945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0695" y="2274987"/>
          <a:ext cx="1047644" cy="23690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41148" rIns="45720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Sat. Cond.</a:t>
          </a:r>
        </a:p>
      </cdr:txBody>
    </cdr:sp>
  </cdr:relSizeAnchor>
  <cdr:relSizeAnchor xmlns:cdr="http://schemas.openxmlformats.org/drawingml/2006/chartDrawing">
    <cdr:from>
      <cdr:x>0.22861</cdr:x>
      <cdr:y>0.55346</cdr:y>
    </cdr:from>
    <cdr:to>
      <cdr:x>0.36861</cdr:x>
      <cdr:y>0.67587</cdr:y>
    </cdr:to>
    <cdr:sp macro="" textlink="">
      <cdr:nvSpPr>
        <cdr:cNvPr id="1946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26853" y="2667952"/>
          <a:ext cx="1075165" cy="51085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41148" rIns="0" bIns="4114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SiL: </a:t>
          </a:r>
        </a:p>
        <a:p xmlns:a="http://schemas.openxmlformats.org/drawingml/2006/main"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S=20, C=20, </a:t>
          </a:r>
        </a:p>
        <a:p xmlns:a="http://schemas.openxmlformats.org/drawingml/2006/main"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Arial"/>
              <a:cs typeface="Arial"/>
            </a:rPr>
            <a:t>OM=2.5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0.13489</cdr:x>
      <cdr:y>0.5402</cdr:y>
    </cdr:from>
    <cdr:to>
      <cdr:x>0.33374</cdr:x>
      <cdr:y>0.62358</cdr:y>
    </cdr:to>
    <cdr:sp macro="" textlink="">
      <cdr:nvSpPr>
        <cdr:cNvPr id="204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7403" y="3094104"/>
          <a:ext cx="1776225" cy="43129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54864" tIns="41148" rIns="54864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Sandy Loam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S=0.63, C=0.10</a:t>
          </a:r>
        </a:p>
      </cdr:txBody>
    </cdr:sp>
  </cdr:relSizeAnchor>
  <cdr:relSizeAnchor xmlns:cdr="http://schemas.openxmlformats.org/drawingml/2006/chartDrawing">
    <cdr:from>
      <cdr:x>0.23889</cdr:x>
      <cdr:y>0.14289</cdr:y>
    </cdr:from>
    <cdr:to>
      <cdr:x>0.42589</cdr:x>
      <cdr:y>0.22603</cdr:y>
    </cdr:to>
    <cdr:sp macro="" textlink="">
      <cdr:nvSpPr>
        <cdr:cNvPr id="2048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37910" y="1038728"/>
          <a:ext cx="1669695" cy="42994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54864" tIns="41148" rIns="54864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50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</a:t>
          </a:r>
        </a:p>
        <a:p xmlns:a="http://schemas.openxmlformats.org/drawingml/2006/main">
          <a:pPr algn="ctr" rtl="0">
            <a:defRPr sz="1000"/>
          </a:pPr>
          <a:r>
            <a:rPr lang="en-US" sz="1150" b="1" i="0" u="none" strike="noStrike" baseline="0">
              <a:solidFill>
                <a:srgbClr val="000000"/>
              </a:solidFill>
              <a:latin typeface="Arial"/>
              <a:cs typeface="Arial"/>
            </a:rPr>
            <a:t>S=0.15, C=0.18</a:t>
          </a:r>
        </a:p>
      </cdr:txBody>
    </cdr:sp>
  </cdr:relSizeAnchor>
  <cdr:relSizeAnchor xmlns:cdr="http://schemas.openxmlformats.org/drawingml/2006/chartDrawing">
    <cdr:from>
      <cdr:x>0.56966</cdr:x>
      <cdr:y>0.30476</cdr:y>
    </cdr:from>
    <cdr:to>
      <cdr:x>0.78383</cdr:x>
      <cdr:y>0.42811</cdr:y>
    </cdr:to>
    <cdr:sp macro="" textlink="">
      <cdr:nvSpPr>
        <cdr:cNvPr id="2048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92487" y="1873009"/>
          <a:ext cx="1911017" cy="64019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54864" tIns="41148" rIns="54864" bIns="4114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Clay Loam</a:t>
          </a:r>
        </a:p>
        <a:p xmlns:a="http://schemas.openxmlformats.org/drawingml/2006/main">
          <a:pPr algn="ctr" rtl="0">
            <a:lnSpc>
              <a:spcPts val="12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S=0.29, C=0.32</a:t>
          </a:r>
        </a:p>
      </cdr:txBody>
    </cdr:sp>
  </cdr:relSizeAnchor>
  <cdr:relSizeAnchor xmlns:cdr="http://schemas.openxmlformats.org/drawingml/2006/chartDrawing">
    <cdr:from>
      <cdr:x>0.82533</cdr:x>
      <cdr:y>0.84847</cdr:y>
    </cdr:from>
    <cdr:to>
      <cdr:x>0.82533</cdr:x>
      <cdr:y>0.84847</cdr:y>
    </cdr:to>
    <cdr:sp macro="" textlink="">
      <cdr:nvSpPr>
        <cdr:cNvPr id="20484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275272" y="4687189"/>
          <a:ext cx="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0.4081</cdr:x>
      <cdr:y>0.58998</cdr:y>
    </cdr:from>
    <cdr:to>
      <cdr:x>0.82533</cdr:x>
      <cdr:y>0.81782</cdr:y>
    </cdr:to>
    <cdr:sp macro="" textlink="">
      <cdr:nvSpPr>
        <cdr:cNvPr id="20485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548897" y="3350184"/>
          <a:ext cx="3726375" cy="117796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0.65118</cdr:x>
      <cdr:y>0.58998</cdr:y>
    </cdr:from>
    <cdr:to>
      <cdr:x>0.87499</cdr:x>
      <cdr:y>0.7001</cdr:y>
    </cdr:to>
    <cdr:sp macro="" textlink="">
      <cdr:nvSpPr>
        <cdr:cNvPr id="20486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718630" y="3350184"/>
          <a:ext cx="2002329" cy="5701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0.69589</cdr:x>
      <cdr:y>0.58998</cdr:y>
    </cdr:from>
    <cdr:to>
      <cdr:x>0.89377</cdr:x>
      <cdr:y>0.75921</cdr:y>
    </cdr:to>
    <cdr:sp macro="" textlink="">
      <cdr:nvSpPr>
        <cdr:cNvPr id="2048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118661" y="3350184"/>
          <a:ext cx="1767528" cy="87471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0.71516</cdr:x>
      <cdr:y>0.14386</cdr:y>
    </cdr:from>
    <cdr:to>
      <cdr:x>0.89377</cdr:x>
      <cdr:y>0.21623</cdr:y>
    </cdr:to>
    <cdr:sp macro="" textlink="">
      <cdr:nvSpPr>
        <cdr:cNvPr id="20488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92587" y="1042772"/>
          <a:ext cx="1593602" cy="37468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54864" tIns="41148" rIns="54864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OM = 1.5 %w</a:t>
          </a:r>
        </a:p>
      </cdr:txBody>
    </cdr:sp>
  </cdr:relSizeAnchor>
  <cdr:relSizeAnchor xmlns:cdr="http://schemas.openxmlformats.org/drawingml/2006/chartDrawing">
    <cdr:from>
      <cdr:x>0.87597</cdr:x>
      <cdr:y>0.7001</cdr:y>
    </cdr:from>
    <cdr:to>
      <cdr:x>0.87597</cdr:x>
      <cdr:y>0.86907</cdr:y>
    </cdr:to>
    <cdr:sp macro="" textlink="">
      <cdr:nvSpPr>
        <cdr:cNvPr id="2048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727481" y="3920298"/>
          <a:ext cx="0" cy="87336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0.82533</cdr:x>
      <cdr:y>0.81659</cdr:y>
    </cdr:from>
    <cdr:to>
      <cdr:x>0.82533</cdr:x>
      <cdr:y>0.86907</cdr:y>
    </cdr:to>
    <cdr:sp macro="" textlink="">
      <cdr:nvSpPr>
        <cdr:cNvPr id="20490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275272" y="4521411"/>
          <a:ext cx="0" cy="27225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0.89204</cdr:x>
      <cdr:y>0.75848</cdr:y>
    </cdr:from>
    <cdr:to>
      <cdr:x>0.89204</cdr:x>
      <cdr:y>0.86907</cdr:y>
    </cdr:to>
    <cdr:sp macro="" textlink="">
      <cdr:nvSpPr>
        <cdr:cNvPr id="20491" name="Line 1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870970" y="4220855"/>
          <a:ext cx="0" cy="57280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0.46547</cdr:x>
      <cdr:y>0.24381</cdr:y>
    </cdr:from>
    <cdr:to>
      <cdr:x>0.59371</cdr:x>
      <cdr:y>0.30767</cdr:y>
    </cdr:to>
    <cdr:sp macro="" textlink="">
      <cdr:nvSpPr>
        <cdr:cNvPr id="215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53030" y="1441649"/>
          <a:ext cx="1003908" cy="2800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64008" tIns="50292" rIns="64008" bIns="5029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0.5%</a:t>
          </a:r>
        </a:p>
      </cdr:txBody>
    </cdr:sp>
  </cdr:relSizeAnchor>
  <cdr:relSizeAnchor xmlns:cdr="http://schemas.openxmlformats.org/drawingml/2006/chartDrawing">
    <cdr:from>
      <cdr:x>0.60529</cdr:x>
      <cdr:y>0.19634</cdr:y>
    </cdr:from>
    <cdr:to>
      <cdr:x>0.70394</cdr:x>
      <cdr:y>0.25238</cdr:y>
    </cdr:to>
    <cdr:sp macro="" textlink="">
      <cdr:nvSpPr>
        <cdr:cNvPr id="215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50459" y="1237848"/>
          <a:ext cx="771063" cy="2443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64008" tIns="50292" rIns="64008" bIns="5029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2.5%</a:t>
          </a:r>
        </a:p>
      </cdr:txBody>
    </cdr:sp>
  </cdr:relSizeAnchor>
  <cdr:relSizeAnchor xmlns:cdr="http://schemas.openxmlformats.org/drawingml/2006/chartDrawing">
    <cdr:from>
      <cdr:x>0.68249</cdr:x>
      <cdr:y>0.2448</cdr:y>
    </cdr:from>
    <cdr:to>
      <cdr:x>0.78336</cdr:x>
      <cdr:y>0.29127</cdr:y>
    </cdr:to>
    <cdr:sp macro="" textlink="">
      <cdr:nvSpPr>
        <cdr:cNvPr id="2150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53567" y="1444033"/>
          <a:ext cx="788241" cy="20499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64008" tIns="50292" rIns="64008" bIns="5029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5.0%</a:t>
          </a:r>
        </a:p>
        <a:p xmlns:a="http://schemas.openxmlformats.org/drawingml/2006/main">
          <a:pPr algn="ctr" rtl="0">
            <a:defRPr sz="1000"/>
          </a:pPr>
          <a:endParaRPr lang="en-US" sz="1475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0.7412</cdr:x>
      <cdr:y>0.29127</cdr:y>
    </cdr:from>
    <cdr:to>
      <cdr:x>0.83219</cdr:x>
      <cdr:y>0.35905</cdr:y>
    </cdr:to>
    <cdr:sp macro="" textlink="">
      <cdr:nvSpPr>
        <cdr:cNvPr id="2150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7807" y="1649025"/>
          <a:ext cx="713806" cy="2955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54864" tIns="41148" rIns="54864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7.50%</a:t>
          </a:r>
        </a:p>
      </cdr:txBody>
    </cdr:sp>
  </cdr:relSizeAnchor>
  <cdr:relSizeAnchor xmlns:cdr="http://schemas.openxmlformats.org/drawingml/2006/chartDrawing">
    <cdr:from>
      <cdr:x>0.72639</cdr:x>
      <cdr:y>0.61373</cdr:y>
    </cdr:from>
    <cdr:to>
      <cdr:x>0.93971</cdr:x>
      <cdr:y>0.75318</cdr:y>
    </cdr:to>
    <cdr:sp macro="" textlink="">
      <cdr:nvSpPr>
        <cdr:cNvPr id="2150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97110" y="3056559"/>
          <a:ext cx="1666184" cy="60544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64008" tIns="50292" rIns="64008" bIns="50292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1500"/>
            </a:lnSpc>
            <a:defRPr sz="1000"/>
          </a:pPr>
          <a:r>
            <a:rPr lang="en-US" sz="1425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</a:t>
          </a:r>
        </a:p>
        <a:p xmlns:a="http://schemas.openxmlformats.org/drawingml/2006/main">
          <a:pPr algn="ctr" rtl="0">
            <a:lnSpc>
              <a:spcPts val="1400"/>
            </a:lnSpc>
            <a:defRPr sz="1000"/>
          </a:pPr>
          <a:r>
            <a:rPr lang="en-US" sz="1425" b="1" i="0" u="none" strike="noStrike" baseline="0">
              <a:solidFill>
                <a:srgbClr val="000000"/>
              </a:solidFill>
              <a:latin typeface="Arial"/>
              <a:cs typeface="Arial"/>
            </a:rPr>
            <a:t> (S=20, C=20)</a:t>
          </a:r>
        </a:p>
      </cdr:txBody>
    </cdr:sp>
  </cdr:relSizeAnchor>
  <cdr:relSizeAnchor xmlns:cdr="http://schemas.openxmlformats.org/drawingml/2006/chartDrawing">
    <cdr:from>
      <cdr:x>0.34488</cdr:x>
      <cdr:y>0.13371</cdr:y>
    </cdr:from>
    <cdr:to>
      <cdr:x>0.59987</cdr:x>
      <cdr:y>0.21862</cdr:y>
    </cdr:to>
    <cdr:sp macro="" textlink="">
      <cdr:nvSpPr>
        <cdr:cNvPr id="215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12104" y="1014979"/>
          <a:ext cx="1998275" cy="31940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73152" tIns="59436" rIns="73152" bIns="5943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75" b="1" i="0" u="none" strike="noStrike" baseline="0">
              <a:solidFill>
                <a:srgbClr val="000000"/>
              </a:solidFill>
              <a:latin typeface="Arial"/>
              <a:cs typeface="Arial"/>
            </a:rPr>
            <a:t>Organic Matter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0.66743</cdr:x>
      <cdr:y>0.17696</cdr:y>
    </cdr:from>
    <cdr:to>
      <cdr:x>0.85784</cdr:x>
      <cdr:y>0.31067</cdr:y>
    </cdr:to>
    <cdr:sp macro="" textlink="">
      <cdr:nvSpPr>
        <cdr:cNvPr id="22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8303" y="1277439"/>
          <a:ext cx="1651872" cy="58090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64008" tIns="50292" rIns="64008" bIns="50292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1600"/>
            </a:lnSpc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</a:t>
          </a:r>
        </a:p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 (S=20, C=20)</a:t>
          </a:r>
        </a:p>
      </cdr:txBody>
    </cdr:sp>
  </cdr:relSizeAnchor>
  <cdr:relSizeAnchor xmlns:cdr="http://schemas.openxmlformats.org/drawingml/2006/chartDrawing">
    <cdr:from>
      <cdr:x>0.17156</cdr:x>
      <cdr:y>0.45122</cdr:y>
    </cdr:from>
    <cdr:to>
      <cdr:x>0.2486</cdr:x>
      <cdr:y>0.5078</cdr:y>
    </cdr:to>
    <cdr:sp macro="" textlink="">
      <cdr:nvSpPr>
        <cdr:cNvPr id="22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27007" y="2495352"/>
          <a:ext cx="665838" cy="24931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64008" tIns="50292" rIns="64008" bIns="5029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0.50%</a:t>
          </a:r>
        </a:p>
      </cdr:txBody>
    </cdr:sp>
  </cdr:relSizeAnchor>
  <cdr:relSizeAnchor xmlns:cdr="http://schemas.openxmlformats.org/drawingml/2006/chartDrawing">
    <cdr:from>
      <cdr:x>0.2486</cdr:x>
      <cdr:y>0.5078</cdr:y>
    </cdr:from>
    <cdr:to>
      <cdr:x>0.32591</cdr:x>
      <cdr:y>0.56217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92845" y="2744669"/>
          <a:ext cx="665838" cy="24931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64008" tIns="50292" rIns="64008" bIns="5029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2.50%</a:t>
          </a:r>
        </a:p>
      </cdr:txBody>
    </cdr:sp>
  </cdr:relSizeAnchor>
  <cdr:relSizeAnchor xmlns:cdr="http://schemas.openxmlformats.org/drawingml/2006/chartDrawing">
    <cdr:from>
      <cdr:x>0.41233</cdr:x>
      <cdr:y>0.37875</cdr:y>
    </cdr:from>
    <cdr:to>
      <cdr:x>0.48938</cdr:x>
      <cdr:y>0.43482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07220" y="2166254"/>
          <a:ext cx="672200" cy="24931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64008" tIns="50292" rIns="64008" bIns="5029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5.00%</a:t>
          </a:r>
        </a:p>
      </cdr:txBody>
    </cdr:sp>
  </cdr:relSizeAnchor>
  <cdr:relSizeAnchor xmlns:cdr="http://schemas.openxmlformats.org/drawingml/2006/chartDrawing">
    <cdr:from>
      <cdr:x>0.54544</cdr:x>
      <cdr:y>0.47351</cdr:y>
    </cdr:from>
    <cdr:to>
      <cdr:x>0.62274</cdr:x>
      <cdr:y>0.52715</cdr:y>
    </cdr:to>
    <cdr:sp macro="" textlink="">
      <cdr:nvSpPr>
        <cdr:cNvPr id="2253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62895" y="2591339"/>
          <a:ext cx="665838" cy="24931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64008" tIns="50292" rIns="64008" bIns="5029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7.50%</a:t>
          </a:r>
        </a:p>
      </cdr:txBody>
    </cdr:sp>
  </cdr:relSizeAnchor>
  <cdr:relSizeAnchor xmlns:cdr="http://schemas.openxmlformats.org/drawingml/2006/chartDrawing">
    <cdr:from>
      <cdr:x>0.36788</cdr:x>
      <cdr:y>0.40763</cdr:y>
    </cdr:from>
    <cdr:to>
      <cdr:x>0.41233</cdr:x>
      <cdr:y>0.47351</cdr:y>
    </cdr:to>
    <cdr:sp macro="" textlink="">
      <cdr:nvSpPr>
        <cdr:cNvPr id="22534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123409" y="2295899"/>
          <a:ext cx="383811" cy="2954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0.32591</cdr:x>
      <cdr:y>0.52005</cdr:y>
    </cdr:from>
    <cdr:to>
      <cdr:x>0.37998</cdr:x>
      <cdr:y>0.54183</cdr:y>
    </cdr:to>
    <cdr:sp macro="" textlink="">
      <cdr:nvSpPr>
        <cdr:cNvPr id="22535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758683" y="2805752"/>
          <a:ext cx="468631" cy="9349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0.2486</cdr:x>
      <cdr:y>0.43482</cdr:y>
    </cdr:from>
    <cdr:to>
      <cdr:x>0.28491</cdr:x>
      <cdr:y>0.47351</cdr:y>
    </cdr:to>
    <cdr:sp macro="" textlink="">
      <cdr:nvSpPr>
        <cdr:cNvPr id="22536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092845" y="2415571"/>
          <a:ext cx="315955" cy="17576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0.49901</cdr:x>
      <cdr:y>0.5078</cdr:y>
    </cdr:from>
    <cdr:to>
      <cdr:x>0.54544</cdr:x>
      <cdr:y>0.56217</cdr:y>
    </cdr:to>
    <cdr:sp macro="" textlink="">
      <cdr:nvSpPr>
        <cdr:cNvPr id="22537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257878" y="2744669"/>
          <a:ext cx="405017" cy="2493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0.27922</cdr:x>
      <cdr:y>0.24601</cdr:y>
    </cdr:from>
    <cdr:to>
      <cdr:x>0.54544</cdr:x>
      <cdr:y>0.31067</cdr:y>
    </cdr:to>
    <cdr:sp macro="" textlink="">
      <cdr:nvSpPr>
        <cdr:cNvPr id="2253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7908" y="1562907"/>
          <a:ext cx="2304987" cy="29544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54864" tIns="41148" rIns="54864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Organic Matter, %w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0.22232</cdr:x>
      <cdr:y>0.15914</cdr:y>
    </cdr:from>
    <cdr:to>
      <cdr:x>0.4352</cdr:x>
      <cdr:y>0.34686</cdr:y>
    </cdr:to>
    <cdr:sp macro="" textlink="">
      <cdr:nvSpPr>
        <cdr:cNvPr id="235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3321" y="891453"/>
          <a:ext cx="1555403" cy="72801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54864" tIns="41148" rIns="54864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S=0.20, C=0.20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OM = 2.5</a:t>
          </a:r>
        </a:p>
        <a:p xmlns:a="http://schemas.openxmlformats.org/drawingml/2006/main"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0.58918</cdr:x>
      <cdr:y>0.12647</cdr:y>
    </cdr:from>
    <cdr:to>
      <cdr:x>0.80894</cdr:x>
      <cdr:y>0.19376</cdr:y>
    </cdr:to>
    <cdr:sp macro="" textlink="">
      <cdr:nvSpPr>
        <cdr:cNvPr id="235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21057" y="784963"/>
          <a:ext cx="1614064" cy="23960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54864" tIns="41148" rIns="54864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Density Factor:</a:t>
          </a:r>
        </a:p>
      </cdr:txBody>
    </cdr:sp>
  </cdr:relSizeAnchor>
  <cdr:relSizeAnchor xmlns:cdr="http://schemas.openxmlformats.org/drawingml/2006/chartDrawing">
    <cdr:from>
      <cdr:x>0.84123</cdr:x>
      <cdr:y>0.12743</cdr:y>
    </cdr:from>
    <cdr:to>
      <cdr:x>0.90997</cdr:x>
      <cdr:y>0.19521</cdr:y>
    </cdr:to>
    <cdr:sp macro="" textlink="">
      <cdr:nvSpPr>
        <cdr:cNvPr id="235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66209" y="788035"/>
          <a:ext cx="508395" cy="23960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54864" tIns="41148" rIns="54864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0.9</a:t>
          </a:r>
        </a:p>
      </cdr:txBody>
    </cdr:sp>
  </cdr:relSizeAnchor>
  <cdr:relSizeAnchor xmlns:cdr="http://schemas.openxmlformats.org/drawingml/2006/chartDrawing">
    <cdr:from>
      <cdr:x>0.84123</cdr:x>
      <cdr:y>0.19521</cdr:y>
    </cdr:from>
    <cdr:to>
      <cdr:x>0.91242</cdr:x>
      <cdr:y>0.25251</cdr:y>
    </cdr:to>
    <cdr:sp macro="" textlink="">
      <cdr:nvSpPr>
        <cdr:cNvPr id="2355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66209" y="1027636"/>
          <a:ext cx="520838" cy="22629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54864" tIns="41148" rIns="54864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1.0</a:t>
          </a:r>
        </a:p>
      </cdr:txBody>
    </cdr:sp>
  </cdr:relSizeAnchor>
  <cdr:relSizeAnchor xmlns:cdr="http://schemas.openxmlformats.org/drawingml/2006/chartDrawing">
    <cdr:from>
      <cdr:x>0.84123</cdr:x>
      <cdr:y>0.25325</cdr:y>
    </cdr:from>
    <cdr:to>
      <cdr:x>0.91341</cdr:x>
      <cdr:y>0.31224</cdr:y>
    </cdr:to>
    <cdr:sp macro="" textlink="">
      <cdr:nvSpPr>
        <cdr:cNvPr id="2355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66209" y="1256998"/>
          <a:ext cx="526171" cy="22936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54864" tIns="41148" rIns="54864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1.1</a:t>
          </a:r>
        </a:p>
      </cdr:txBody>
    </cdr:sp>
  </cdr:relSizeAnchor>
  <cdr:relSizeAnchor xmlns:cdr="http://schemas.openxmlformats.org/drawingml/2006/chartDrawing">
    <cdr:from>
      <cdr:x>0.84123</cdr:x>
      <cdr:y>0.32955</cdr:y>
    </cdr:from>
    <cdr:to>
      <cdr:x>0.91341</cdr:x>
      <cdr:y>0.38488</cdr:y>
    </cdr:to>
    <cdr:sp macro="" textlink="">
      <cdr:nvSpPr>
        <cdr:cNvPr id="2355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66209" y="1553940"/>
          <a:ext cx="526171" cy="21912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54864" tIns="41148" rIns="54864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1.2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0.53406</cdr:x>
      <cdr:y>0.11899</cdr:y>
    </cdr:from>
    <cdr:to>
      <cdr:x>0.73745</cdr:x>
      <cdr:y>0.23715</cdr:y>
    </cdr:to>
    <cdr:sp macro="" textlink="">
      <cdr:nvSpPr>
        <cdr:cNvPr id="245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74626" y="847940"/>
          <a:ext cx="1713215" cy="59155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36576" rIns="45720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Sandy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S=0.63, C=0.10</a:t>
          </a:r>
        </a:p>
      </cdr:txBody>
    </cdr:sp>
  </cdr:relSizeAnchor>
  <cdr:relSizeAnchor xmlns:cdr="http://schemas.openxmlformats.org/drawingml/2006/chartDrawing">
    <cdr:from>
      <cdr:x>0.76065</cdr:x>
      <cdr:y>0.54093</cdr:y>
    </cdr:from>
    <cdr:to>
      <cdr:x>0.94183</cdr:x>
      <cdr:y>0.64316</cdr:y>
    </cdr:to>
    <cdr:sp macro="" textlink="">
      <cdr:nvSpPr>
        <cdr:cNvPr id="2457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83637" y="2993985"/>
          <a:ext cx="1523536" cy="52391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36576" rIns="45720" bIns="36576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Clay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S=0.29, C=0.32</a:t>
          </a:r>
        </a:p>
      </cdr:txBody>
    </cdr:sp>
  </cdr:relSizeAnchor>
  <cdr:relSizeAnchor xmlns:cdr="http://schemas.openxmlformats.org/drawingml/2006/chartDrawing">
    <cdr:from>
      <cdr:x>0.37238</cdr:x>
      <cdr:y>0.36562</cdr:y>
    </cdr:from>
    <cdr:to>
      <cdr:x>0.57873</cdr:x>
      <cdr:y>0.46762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26490" y="2097368"/>
          <a:ext cx="1739728" cy="52391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36576" rIns="45720" bIns="36576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1300"/>
            </a:lnSpc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S=0.15 S=0.18</a:t>
          </a:r>
        </a:p>
      </cdr:txBody>
    </cdr:sp>
  </cdr:relSizeAnchor>
  <cdr:relSizeAnchor xmlns:cdr="http://schemas.openxmlformats.org/drawingml/2006/chartDrawing">
    <cdr:from>
      <cdr:x>0.56268</cdr:x>
      <cdr:y>0.40536</cdr:y>
    </cdr:from>
    <cdr:to>
      <cdr:x>0.68759</cdr:x>
      <cdr:y>0.46787</cdr:y>
    </cdr:to>
    <cdr:sp macro="" textlink="">
      <cdr:nvSpPr>
        <cdr:cNvPr id="24580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617332" y="2301627"/>
          <a:ext cx="1050363" cy="31699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0.19195</cdr:x>
      <cdr:y>0.13982</cdr:y>
    </cdr:from>
    <cdr:to>
      <cdr:x>0.35732</cdr:x>
      <cdr:y>0.20038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9072" y="940785"/>
          <a:ext cx="1388927" cy="30904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36576" rIns="45720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OM = 1.5 %w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brr.cr.usgs.gov/projects/GW_Unsat/vs2di/hlp/solute/content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95"/>
  <sheetViews>
    <sheetView tabSelected="1" topLeftCell="A14" zoomScale="85" zoomScaleNormal="85" workbookViewId="0">
      <selection activeCell="P40" sqref="P40"/>
    </sheetView>
  </sheetViews>
  <sheetFormatPr defaultColWidth="8.88671875" defaultRowHeight="15" x14ac:dyDescent="0.25"/>
  <cols>
    <col min="1" max="2" width="14.109375" style="1" customWidth="1"/>
    <col min="3" max="3" width="10.88671875" style="1" customWidth="1"/>
    <col min="4" max="5" width="8.88671875" style="1" customWidth="1"/>
    <col min="6" max="6" width="12.109375" style="1" customWidth="1"/>
    <col min="7" max="7" width="12.5546875" style="1" customWidth="1"/>
    <col min="8" max="8" width="10.109375" style="1" customWidth="1"/>
    <col min="9" max="9" width="11.109375" style="1" customWidth="1"/>
    <col min="10" max="10" width="12" style="1" customWidth="1"/>
    <col min="11" max="11" width="11.5546875" style="1" customWidth="1"/>
    <col min="12" max="12" width="14.44140625" style="1" customWidth="1"/>
    <col min="13" max="13" width="14.88671875" style="1" bestFit="1" customWidth="1"/>
    <col min="14" max="14" width="14.109375" style="1" customWidth="1"/>
    <col min="15" max="15" width="16.109375" style="1" customWidth="1"/>
    <col min="16" max="16" width="13.109375" style="1" bestFit="1" customWidth="1"/>
    <col min="17" max="17" width="11.88671875" style="1" customWidth="1"/>
    <col min="18" max="18" width="10.88671875" style="1" customWidth="1"/>
    <col min="19" max="19" width="9.109375" style="1" bestFit="1" customWidth="1"/>
    <col min="20" max="25" width="13.5546875" style="1" customWidth="1"/>
    <col min="26" max="27" width="12.44140625" style="1" customWidth="1"/>
    <col min="28" max="28" width="9.109375" style="1" bestFit="1" customWidth="1"/>
    <col min="29" max="29" width="11" style="1" customWidth="1"/>
    <col min="30" max="30" width="14.21875" style="1" customWidth="1"/>
    <col min="31" max="31" width="12" style="1" customWidth="1"/>
    <col min="32" max="32" width="13.5546875" style="1" customWidth="1"/>
    <col min="33" max="33" width="12.109375" style="1" customWidth="1"/>
    <col min="34" max="34" width="12.6640625" style="1" customWidth="1"/>
    <col min="35" max="35" width="9.109375" style="1" bestFit="1" customWidth="1"/>
    <col min="36" max="36" width="11.109375" style="1" customWidth="1"/>
    <col min="37" max="37" width="11" style="1" customWidth="1"/>
    <col min="38" max="38" width="12.109375" style="1" customWidth="1"/>
    <col min="39" max="39" width="9.44140625" style="1" customWidth="1"/>
    <col min="40" max="40" width="12.44140625" style="1" customWidth="1"/>
    <col min="41" max="42" width="13.88671875" style="1" customWidth="1"/>
    <col min="43" max="45" width="13.109375" style="1" customWidth="1"/>
    <col min="46" max="47" width="8.88671875" style="1" customWidth="1"/>
    <col min="48" max="48" width="10.109375" style="1" customWidth="1"/>
    <col min="49" max="49" width="11.88671875" style="1" customWidth="1"/>
    <col min="50" max="50" width="13.109375" style="1" customWidth="1"/>
    <col min="51" max="54" width="8.88671875" style="1" customWidth="1"/>
    <col min="55" max="71" width="8.88671875" style="1"/>
    <col min="72" max="72" width="48.109375" style="1" customWidth="1"/>
    <col min="73" max="16384" width="8.88671875" style="1"/>
  </cols>
  <sheetData>
    <row r="1" spans="1:53" ht="21" x14ac:dyDescent="0.4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53" ht="15.6" x14ac:dyDescent="0.3">
      <c r="A2" s="4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53" ht="15.6" x14ac:dyDescent="0.3">
      <c r="A3" s="4"/>
      <c r="B3" s="4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spans="1:53" ht="15.6" x14ac:dyDescent="0.3">
      <c r="A4" s="4"/>
      <c r="B4" s="44" t="s">
        <v>152</v>
      </c>
      <c r="C4" s="4"/>
      <c r="D4" s="4"/>
      <c r="E4" s="4"/>
      <c r="F4" s="4"/>
      <c r="G4" s="4"/>
      <c r="H4" s="4"/>
      <c r="I4" s="4"/>
      <c r="J4" s="4"/>
      <c r="K4" s="4"/>
    </row>
    <row r="5" spans="1:53" ht="15.6" x14ac:dyDescent="0.3">
      <c r="A5" s="4"/>
      <c r="B5" s="44" t="s">
        <v>158</v>
      </c>
      <c r="C5" s="4"/>
      <c r="D5" s="4"/>
      <c r="E5" s="4"/>
      <c r="F5" s="4"/>
      <c r="G5" s="4"/>
      <c r="H5" s="4"/>
      <c r="I5" s="4"/>
      <c r="J5" s="4"/>
      <c r="K5" s="4"/>
    </row>
    <row r="7" spans="1:53" ht="15.6" x14ac:dyDescent="0.3">
      <c r="B7" s="6" t="s">
        <v>4</v>
      </c>
      <c r="C7" s="7"/>
      <c r="D7" s="7"/>
      <c r="E7" s="7"/>
      <c r="F7" s="7"/>
      <c r="G7" s="7"/>
      <c r="H7" s="7"/>
      <c r="I7" s="7"/>
      <c r="J7" s="7"/>
      <c r="K7" s="7"/>
      <c r="AC7" s="8"/>
    </row>
    <row r="8" spans="1:53" ht="15.6" thickBot="1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5"/>
      <c r="U8" s="5"/>
      <c r="V8" s="5"/>
      <c r="W8" s="5"/>
      <c r="Y8" s="5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8"/>
      <c r="AM8" s="28"/>
      <c r="AN8" s="28"/>
      <c r="AO8" s="26"/>
      <c r="AP8" s="26"/>
      <c r="AQ8" s="26"/>
      <c r="AR8" s="26"/>
      <c r="AS8" s="26"/>
      <c r="AT8" s="26"/>
      <c r="AU8" s="26"/>
      <c r="AV8" s="29"/>
      <c r="AW8" s="27"/>
      <c r="AX8" s="26"/>
      <c r="BA8" s="25">
        <v>4.316862719363237</v>
      </c>
    </row>
    <row r="9" spans="1:53" ht="18" thickBot="1" x14ac:dyDescent="0.35">
      <c r="C9" s="81" t="s">
        <v>107</v>
      </c>
      <c r="D9" s="82"/>
      <c r="E9" s="82"/>
      <c r="F9" s="82"/>
      <c r="G9" s="83" t="s">
        <v>10</v>
      </c>
      <c r="H9" s="84"/>
      <c r="I9" s="85"/>
      <c r="K9" s="76"/>
      <c r="L9" s="77"/>
      <c r="M9" s="78" t="s">
        <v>11</v>
      </c>
      <c r="N9" s="77"/>
      <c r="O9" s="79"/>
      <c r="P9" s="79"/>
      <c r="Q9" s="77"/>
      <c r="R9" s="77"/>
      <c r="S9" s="80"/>
      <c r="T9" s="5"/>
      <c r="U9" s="5"/>
      <c r="V9" s="5"/>
      <c r="W9" s="5"/>
      <c r="Y9" s="5"/>
      <c r="AE9" s="1" t="s">
        <v>13</v>
      </c>
      <c r="AF9" s="1" t="s">
        <v>14</v>
      </c>
      <c r="AI9" s="1" t="s">
        <v>15</v>
      </c>
      <c r="AJ9" s="1" t="s">
        <v>15</v>
      </c>
      <c r="AK9" s="1" t="s">
        <v>16</v>
      </c>
      <c r="AL9" s="1" t="s">
        <v>16</v>
      </c>
      <c r="AM9" s="1" t="s">
        <v>17</v>
      </c>
      <c r="AN9" s="1" t="s">
        <v>18</v>
      </c>
      <c r="AP9" s="1" t="s">
        <v>19</v>
      </c>
      <c r="AT9" s="1" t="s">
        <v>20</v>
      </c>
      <c r="AU9" s="1" t="s">
        <v>20</v>
      </c>
    </row>
    <row r="10" spans="1:53" ht="15.6" x14ac:dyDescent="0.3">
      <c r="C10" s="65"/>
      <c r="D10" s="55"/>
      <c r="E10" s="55"/>
      <c r="F10" s="55"/>
      <c r="G10" s="55"/>
      <c r="H10" s="55" t="s">
        <v>15</v>
      </c>
      <c r="I10" s="66" t="s">
        <v>23</v>
      </c>
      <c r="K10" s="53" t="s">
        <v>25</v>
      </c>
      <c r="L10" s="54" t="s">
        <v>26</v>
      </c>
      <c r="M10" s="54" t="s">
        <v>27</v>
      </c>
      <c r="N10" s="55" t="s">
        <v>28</v>
      </c>
      <c r="O10" s="74" t="s">
        <v>159</v>
      </c>
      <c r="P10" s="74" t="s">
        <v>155</v>
      </c>
      <c r="Q10" s="55" t="s">
        <v>157</v>
      </c>
      <c r="R10" s="56" t="s">
        <v>151</v>
      </c>
      <c r="S10" s="57" t="s">
        <v>23</v>
      </c>
      <c r="T10" s="5"/>
      <c r="U10" s="5"/>
      <c r="V10" s="106" t="s">
        <v>185</v>
      </c>
      <c r="W10" s="5" t="s">
        <v>188</v>
      </c>
      <c r="X10" s="106" t="s">
        <v>185</v>
      </c>
      <c r="Y10" s="5" t="s">
        <v>188</v>
      </c>
      <c r="Z10" s="1" t="s">
        <v>32</v>
      </c>
      <c r="AA10" s="1" t="s">
        <v>32</v>
      </c>
      <c r="AB10" s="1" t="s">
        <v>32</v>
      </c>
      <c r="AC10" s="1" t="s">
        <v>33</v>
      </c>
      <c r="AD10" s="1" t="s">
        <v>34</v>
      </c>
      <c r="AE10" s="1" t="s">
        <v>34</v>
      </c>
      <c r="AF10" s="1" t="s">
        <v>35</v>
      </c>
      <c r="AG10" s="1" t="s">
        <v>14</v>
      </c>
      <c r="AH10" s="1" t="s">
        <v>36</v>
      </c>
      <c r="AI10" s="1" t="s">
        <v>37</v>
      </c>
      <c r="AJ10" s="1" t="s">
        <v>38</v>
      </c>
      <c r="AK10" s="1" t="s">
        <v>39</v>
      </c>
      <c r="AL10" s="1" t="s">
        <v>40</v>
      </c>
      <c r="AM10" s="1" t="s">
        <v>41</v>
      </c>
      <c r="AN10" s="1" t="s">
        <v>17</v>
      </c>
      <c r="AO10" s="1" t="s">
        <v>42</v>
      </c>
      <c r="AP10" s="1" t="s">
        <v>43</v>
      </c>
      <c r="AQ10" s="1" t="s">
        <v>44</v>
      </c>
      <c r="AT10" s="21" t="s">
        <v>45</v>
      </c>
      <c r="AU10" s="21" t="s">
        <v>46</v>
      </c>
      <c r="AV10" s="1" t="s">
        <v>47</v>
      </c>
      <c r="AW10" s="1" t="s">
        <v>47</v>
      </c>
    </row>
    <row r="11" spans="1:53" ht="15.6" x14ac:dyDescent="0.3">
      <c r="C11" s="58"/>
      <c r="H11" s="1" t="s">
        <v>53</v>
      </c>
      <c r="I11" s="60" t="s">
        <v>54</v>
      </c>
      <c r="K11" s="58" t="s">
        <v>56</v>
      </c>
      <c r="L11" s="1" t="s">
        <v>57</v>
      </c>
      <c r="M11" s="1" t="s">
        <v>16</v>
      </c>
      <c r="N11" s="1" t="s">
        <v>156</v>
      </c>
      <c r="O11" s="71" t="s">
        <v>160</v>
      </c>
      <c r="P11" s="73" t="s">
        <v>153</v>
      </c>
      <c r="Q11" s="1" t="s">
        <v>15</v>
      </c>
      <c r="R11" s="1">
        <v>33</v>
      </c>
      <c r="S11" s="60" t="s">
        <v>60</v>
      </c>
      <c r="T11" s="5"/>
      <c r="U11" s="5"/>
      <c r="V11" s="106" t="s">
        <v>186</v>
      </c>
      <c r="W11" s="5"/>
      <c r="X11" s="106" t="s">
        <v>186</v>
      </c>
      <c r="Y11" s="5"/>
      <c r="Z11" s="1" t="s">
        <v>61</v>
      </c>
      <c r="AA11" s="1" t="s">
        <v>61</v>
      </c>
      <c r="AB11" s="1" t="s">
        <v>17</v>
      </c>
      <c r="AC11" s="1" t="s">
        <v>17</v>
      </c>
      <c r="AD11" s="1" t="s">
        <v>62</v>
      </c>
      <c r="AE11" s="1" t="s">
        <v>62</v>
      </c>
      <c r="AF11" s="1" t="s">
        <v>62</v>
      </c>
      <c r="AG11" s="1" t="s">
        <v>36</v>
      </c>
      <c r="AH11" s="1" t="s">
        <v>14</v>
      </c>
      <c r="AK11" s="1" t="s">
        <v>63</v>
      </c>
      <c r="AL11" s="1" t="s">
        <v>64</v>
      </c>
      <c r="AN11" s="1" t="s">
        <v>38</v>
      </c>
      <c r="AP11" s="1" t="s">
        <v>44</v>
      </c>
      <c r="AQ11" s="1" t="s">
        <v>65</v>
      </c>
      <c r="AV11" s="1" t="s">
        <v>66</v>
      </c>
      <c r="AW11" s="1" t="s">
        <v>67</v>
      </c>
    </row>
    <row r="12" spans="1:53" ht="16.2" thickBot="1" x14ac:dyDescent="0.35">
      <c r="C12" s="58"/>
      <c r="I12" s="60"/>
      <c r="K12" s="58" t="s">
        <v>52</v>
      </c>
      <c r="L12" s="1" t="s">
        <v>52</v>
      </c>
      <c r="M12" s="1" t="s">
        <v>52</v>
      </c>
      <c r="N12" s="1" t="s">
        <v>52</v>
      </c>
      <c r="O12" s="71" t="s">
        <v>65</v>
      </c>
      <c r="P12" s="71" t="s">
        <v>154</v>
      </c>
      <c r="Q12" s="1" t="s">
        <v>72</v>
      </c>
      <c r="R12" s="1" t="s">
        <v>52</v>
      </c>
      <c r="S12" s="60"/>
      <c r="T12" s="5"/>
      <c r="U12" s="5"/>
      <c r="V12" s="106" t="s">
        <v>162</v>
      </c>
      <c r="W12" s="5"/>
      <c r="X12" s="106" t="s">
        <v>161</v>
      </c>
      <c r="Y12" s="5" t="s">
        <v>161</v>
      </c>
      <c r="Z12" s="1" t="s">
        <v>73</v>
      </c>
      <c r="AA12" s="1" t="s">
        <v>74</v>
      </c>
      <c r="AT12" s="104" t="s">
        <v>181</v>
      </c>
      <c r="AV12" s="1" t="s">
        <v>75</v>
      </c>
      <c r="AW12" s="1" t="s">
        <v>76</v>
      </c>
    </row>
    <row r="13" spans="1:53" ht="18" thickBot="1" x14ac:dyDescent="0.35">
      <c r="C13" s="86" t="s">
        <v>50</v>
      </c>
      <c r="D13" s="87"/>
      <c r="E13" s="88" t="s">
        <v>102</v>
      </c>
      <c r="F13" s="88" t="s">
        <v>68</v>
      </c>
      <c r="G13" s="89" t="s">
        <v>103</v>
      </c>
      <c r="H13" s="90" t="s">
        <v>104</v>
      </c>
      <c r="I13" s="91" t="s">
        <v>105</v>
      </c>
      <c r="K13" s="92"/>
      <c r="L13" s="87"/>
      <c r="M13" s="87"/>
      <c r="N13" s="87"/>
      <c r="O13" s="87"/>
      <c r="P13" s="87"/>
      <c r="Q13" s="87"/>
      <c r="R13" s="87"/>
      <c r="S13" s="93"/>
      <c r="T13" s="5"/>
      <c r="V13" s="107" t="s">
        <v>184</v>
      </c>
      <c r="W13" s="5" t="s">
        <v>184</v>
      </c>
      <c r="X13" s="107" t="s">
        <v>189</v>
      </c>
      <c r="Y13" s="5" t="s">
        <v>189</v>
      </c>
      <c r="Z13" s="13"/>
      <c r="AA13" s="13"/>
      <c r="AB13" s="12" t="s">
        <v>12</v>
      </c>
      <c r="AC13" s="13"/>
      <c r="AD13" s="13"/>
      <c r="AE13" s="13"/>
      <c r="AF13" s="13"/>
      <c r="AG13" s="12" t="s">
        <v>12</v>
      </c>
      <c r="AH13" s="13"/>
      <c r="AI13" s="13"/>
      <c r="AJ13" s="13"/>
      <c r="AK13" s="12" t="s">
        <v>12</v>
      </c>
      <c r="AL13" s="13"/>
      <c r="AM13" s="13"/>
      <c r="AN13" s="13"/>
      <c r="AO13" s="13"/>
      <c r="AP13" s="12" t="s">
        <v>12</v>
      </c>
      <c r="AQ13" s="13"/>
      <c r="AR13" s="13"/>
      <c r="AS13" s="13"/>
      <c r="AT13" s="13"/>
      <c r="AU13" s="13"/>
      <c r="AV13" s="12" t="s">
        <v>12</v>
      </c>
      <c r="AW13" s="13"/>
      <c r="AX13" s="13"/>
    </row>
    <row r="14" spans="1:53" ht="17.399999999999999" customHeight="1" x14ac:dyDescent="0.3">
      <c r="C14" s="67" t="s">
        <v>138</v>
      </c>
      <c r="E14" s="5">
        <v>0.9</v>
      </c>
      <c r="F14" s="5">
        <v>0.05</v>
      </c>
      <c r="G14" s="5">
        <v>5</v>
      </c>
      <c r="H14" s="5">
        <v>1</v>
      </c>
      <c r="I14" s="59">
        <v>0</v>
      </c>
      <c r="J14" s="67" t="s">
        <v>138</v>
      </c>
      <c r="K14" s="61">
        <f>AA14*100</f>
        <v>7.8108399999999998</v>
      </c>
      <c r="L14" s="22">
        <f>AM14*100</f>
        <v>13.755522950879994</v>
      </c>
      <c r="M14" s="22">
        <f>AK14*100</f>
        <v>51.937854950880002</v>
      </c>
      <c r="N14" s="22">
        <f t="shared" ref="N14:N25" si="0">(L14-K14)*(1-S14)</f>
        <v>5.9446829508799945</v>
      </c>
      <c r="O14" s="72">
        <f>AQ14*0.1*24</f>
        <v>297.41013985657196</v>
      </c>
      <c r="P14" s="72">
        <f t="shared" ref="P14:P25" si="1">10*EXP(6.53-7.326*M14/100+15.8*F14^2+3.809*(M14/100)^2+3.44*E14*F14-4.989*E14*M14/100+16*E14^2*(M14/100)^2+16*F14^2*(M14/100)^2-13.6*E14^2*F14-34.8*F14^2*M14/100-7.99*E14^2*M14/100)</f>
        <v>32.034086457085557</v>
      </c>
      <c r="Q14" s="5">
        <f>AJ14</f>
        <v>1.2736468438016799</v>
      </c>
      <c r="R14" s="22">
        <f t="shared" ref="R14:R25" si="2">L14-(R$11-33)*(M14-L14)/(33-AW14)</f>
        <v>13.755522950879994</v>
      </c>
      <c r="S14" s="59">
        <f t="shared" ref="S14:S25" si="3">((Q14/2.65)*I14)/(1-I14*(1-Q14/2.65))</f>
        <v>0</v>
      </c>
      <c r="T14" s="5">
        <f>LN(L14/M14)</f>
        <v>-1.3286074941649204</v>
      </c>
      <c r="V14" s="5">
        <v>0.48464358142267505</v>
      </c>
      <c r="W14" s="5">
        <f t="shared" ref="W14:W25" si="4">M14/100</f>
        <v>0.51937854950880002</v>
      </c>
      <c r="X14" s="106">
        <v>277.57173767631298</v>
      </c>
      <c r="Y14" s="109">
        <f>O14</f>
        <v>297.41013985657196</v>
      </c>
      <c r="Z14" s="24">
        <f t="shared" ref="Z14:Z25" si="5">-0.024*E14+0.487*F14+0.006*G14+0.005*E14*G14-0.013*F14*G14+0.068*E14*F14+0.031</f>
        <v>8.6059999999999998E-2</v>
      </c>
      <c r="AA14" s="24">
        <f>Z14+0.14*Z14-0.02</f>
        <v>7.8108399999999995E-2</v>
      </c>
      <c r="AB14" s="5">
        <f t="shared" ref="AB14:AB25" si="6">-0.251*E14+0.195*F14+0.011*G14+0.006*E14*G14-0.027*F14*G14+0.452*E14*F14+0.299</f>
        <v>0.17843999999999996</v>
      </c>
      <c r="AC14" s="5">
        <f>AB14+(1.283*AB14*AB14-0.374*AB14-0.015)</f>
        <v>0.13755522950879995</v>
      </c>
      <c r="AD14" s="5">
        <f t="shared" ref="AD14:AD25" si="7">0.278*E14+0.034*F14+0.022*G14-0.018*E14*G14-0.027*F14*G14-0.584*E14*F14+0.078</f>
        <v>0.32587000000000005</v>
      </c>
      <c r="AE14" s="5">
        <f>AD14+(0.636*AD14-0.107)</f>
        <v>0.42612332000000008</v>
      </c>
      <c r="AF14" s="5">
        <f>AE14+AC14</f>
        <v>0.56367854950880003</v>
      </c>
      <c r="AG14" s="5">
        <f t="shared" ref="AG14:AG25" si="8">-0.097*E14+0.043</f>
        <v>-4.4300000000000006E-2</v>
      </c>
      <c r="AH14" s="5">
        <f>AF14+AG14</f>
        <v>0.51937854950880002</v>
      </c>
      <c r="AI14" s="5">
        <f>(1-AH14)*2.65</f>
        <v>1.2736468438016799</v>
      </c>
      <c r="AJ14" s="24">
        <f t="shared" ref="AJ14:AJ25" si="9">AI14*(H14)</f>
        <v>1.2736468438016799</v>
      </c>
      <c r="AK14" s="24">
        <f>1-(AJ14/2.65)</f>
        <v>0.51937854950880002</v>
      </c>
      <c r="AL14" s="24">
        <f>(1-AJ14/2.65)-(1-AI14/2.65)</f>
        <v>0</v>
      </c>
      <c r="AM14" s="24">
        <f t="shared" ref="AM14:AM25" si="10">AC14+0.2*AL14</f>
        <v>0.13755522950879995</v>
      </c>
      <c r="AN14" s="24">
        <f>AK14-AM14</f>
        <v>0.38182332000000008</v>
      </c>
      <c r="AO14" s="24">
        <f xml:space="preserve"> (LN(AM14)-LN(AA14))/(LN(1500)-LN(33))</f>
        <v>0.1482762591765297</v>
      </c>
      <c r="AP14" s="24">
        <f t="shared" ref="AP14:AP25" si="11">(1-I14)/(1-I14*(1-1.5*(Q14/2.65)))</f>
        <v>1</v>
      </c>
      <c r="AQ14" s="25">
        <f>1930*(AN14)^(3-AO14)*AP14</f>
        <v>123.92089160690499</v>
      </c>
      <c r="AR14" s="25">
        <f>5.5*AQ14^-0.114</f>
        <v>3.1750035347549774</v>
      </c>
      <c r="AS14" s="25">
        <f>(2+3*AO14)/AO14</f>
        <v>16.488335969003021</v>
      </c>
      <c r="AT14" s="5">
        <f>(LN(1500)-LN(33))/(LN(AM14)-LN(AA14))</f>
        <v>6.7441679845015114</v>
      </c>
      <c r="AU14" s="24">
        <f>EXP(LN(33)+(AT14*LN(AM14)))</f>
        <v>5.1080932770951379E-5</v>
      </c>
      <c r="AV14" s="25">
        <f t="shared" ref="AV14:AV25" si="12">-21.674*$E14-27.932*$F14-81.975*$AN14+71.121*$E14*$AN14+8.294*$F14*$AN14+14.05*$E14*$F14+27.161</f>
        <v>0.18851618135199999</v>
      </c>
      <c r="AW14" s="25">
        <f>AV14+(0.02*AV14^2-0.113*AV14-0.7)</f>
        <v>-0.53207538012814515</v>
      </c>
      <c r="AX14" s="5"/>
      <c r="AY14" s="24">
        <f>L14/100</f>
        <v>0.13755522950879995</v>
      </c>
    </row>
    <row r="15" spans="1:53" ht="15.6" x14ac:dyDescent="0.3">
      <c r="C15" s="67" t="s">
        <v>139</v>
      </c>
      <c r="E15" s="5">
        <v>0.82</v>
      </c>
      <c r="F15" s="5">
        <v>7.0000000000000007E-2</v>
      </c>
      <c r="G15" s="5">
        <f>G14</f>
        <v>5</v>
      </c>
      <c r="H15" s="5">
        <f>H14</f>
        <v>1</v>
      </c>
      <c r="I15" s="59">
        <v>0</v>
      </c>
      <c r="J15" s="67" t="s">
        <v>139</v>
      </c>
      <c r="K15" s="61">
        <f t="shared" ref="K15:K25" si="13">AA15*100</f>
        <v>8.8600047999999987</v>
      </c>
      <c r="L15" s="22">
        <f t="shared" ref="L15:L25" si="14">AM15*100</f>
        <v>16.486290752581635</v>
      </c>
      <c r="M15" s="22">
        <f t="shared" ref="M15:M25" si="15">AK15*100</f>
        <v>51.468880992581646</v>
      </c>
      <c r="N15" s="22">
        <f t="shared" si="0"/>
        <v>7.626285952581636</v>
      </c>
      <c r="O15" s="72">
        <f t="shared" ref="O15:O25" si="16">AQ15</f>
        <v>98.023184014895264</v>
      </c>
      <c r="P15" s="72">
        <f t="shared" si="1"/>
        <v>37.261692793135367</v>
      </c>
      <c r="Q15" s="5">
        <f t="shared" ref="Q15:Q25" si="17">AJ15</f>
        <v>1.2860746536965866</v>
      </c>
      <c r="R15" s="22">
        <f t="shared" si="2"/>
        <v>16.486290752581635</v>
      </c>
      <c r="S15" s="59">
        <f t="shared" si="3"/>
        <v>0</v>
      </c>
      <c r="T15" s="5">
        <f t="shared" ref="T15:T25" si="18">LN(L15/M15)</f>
        <v>-1.1384482003960377</v>
      </c>
      <c r="V15" s="5">
        <v>0.47799573289443531</v>
      </c>
      <c r="W15" s="5">
        <f t="shared" si="4"/>
        <v>0.51468880992581645</v>
      </c>
      <c r="X15" s="106">
        <v>88.976076856856011</v>
      </c>
      <c r="Y15" s="109">
        <f t="shared" ref="Y15:Y25" si="19">O15</f>
        <v>98.023184014895264</v>
      </c>
      <c r="Z15" s="24">
        <f t="shared" si="5"/>
        <v>9.5263199999999992E-2</v>
      </c>
      <c r="AA15" s="24">
        <f t="shared" ref="AA15:AA25" si="20">Z15+0.14*Z15-0.02</f>
        <v>8.8600047999999987E-2</v>
      </c>
      <c r="AB15" s="5">
        <f t="shared" si="6"/>
        <v>0.20292480000000002</v>
      </c>
      <c r="AC15" s="5">
        <f t="shared" ref="AC15:AC25" si="21">AB15+(1.283*AB15*AB15-0.374*AB15-0.015)</f>
        <v>0.16486290752581634</v>
      </c>
      <c r="AD15" s="5">
        <f t="shared" si="7"/>
        <v>0.30156840000000001</v>
      </c>
      <c r="AE15" s="5">
        <f t="shared" ref="AE15:AE25" si="22">AD15+(0.636*AD15-0.107)</f>
        <v>0.38636590240000002</v>
      </c>
      <c r="AF15" s="5">
        <f t="shared" ref="AF15:AF25" si="23">AE15+AC15</f>
        <v>0.55122880992581635</v>
      </c>
      <c r="AG15" s="5">
        <f t="shared" si="8"/>
        <v>-3.6540000000000003E-2</v>
      </c>
      <c r="AH15" s="5">
        <f t="shared" ref="AH15:AH25" si="24">AF15+AG15</f>
        <v>0.51468880992581634</v>
      </c>
      <c r="AI15" s="5">
        <f t="shared" ref="AI15:AI25" si="25">(1-AH15)*2.65</f>
        <v>1.2860746536965866</v>
      </c>
      <c r="AJ15" s="24">
        <f t="shared" si="9"/>
        <v>1.2860746536965866</v>
      </c>
      <c r="AK15" s="24">
        <f t="shared" ref="AK15:AK25" si="26">1-(AJ15/2.65)</f>
        <v>0.51468880992581645</v>
      </c>
      <c r="AL15" s="24">
        <f t="shared" ref="AL15:AL25" si="27">(1-AJ15/2.65)-(1-AI15/2.65)</f>
        <v>0</v>
      </c>
      <c r="AM15" s="24">
        <f t="shared" si="10"/>
        <v>0.16486290752581634</v>
      </c>
      <c r="AN15" s="24">
        <f t="shared" ref="AN15:AN25" si="28">AK15-AM15</f>
        <v>0.34982590240000011</v>
      </c>
      <c r="AO15" s="24">
        <f t="shared" ref="AO15:AO25" si="29" xml:space="preserve"> (LN(AM15)-LN(AA15))/(LN(1500)-LN(33))</f>
        <v>0.16270070452292962</v>
      </c>
      <c r="AP15" s="24">
        <f t="shared" si="11"/>
        <v>1</v>
      </c>
      <c r="AQ15" s="25">
        <f t="shared" ref="AQ15:AQ25" si="30">1930*(AN15)^(3-AO15)*AP15</f>
        <v>98.023184014895264</v>
      </c>
      <c r="AR15" s="25">
        <f t="shared" ref="AR15:AR25" si="31">5.5*AQ15^-0.114</f>
        <v>3.2610030552068268</v>
      </c>
      <c r="AS15" s="25">
        <f t="shared" ref="AS15:AS25" si="32">(2+3*AO15)/AO15</f>
        <v>15.29250977040568</v>
      </c>
      <c r="AT15" s="5">
        <f t="shared" ref="AT15:AT25" si="33">(LN(1500)-LN(33))/(LN(AM15)-LN(AA15))</f>
        <v>6.1462548852028398</v>
      </c>
      <c r="AU15" s="24">
        <f t="shared" ref="AU15:AU25" si="34">EXP(LN(33)+(AT15*LN(AM15)))</f>
        <v>5.0904019467447911E-4</v>
      </c>
      <c r="AV15" s="25">
        <f t="shared" si="12"/>
        <v>0.16724733693952842</v>
      </c>
      <c r="AW15" s="25">
        <f t="shared" ref="AW15:AW25" si="35">AV15+(0.02*AV15^2-0.113*AV15-0.7)</f>
        <v>-0.55109217870037097</v>
      </c>
      <c r="AX15" s="5"/>
      <c r="AY15" s="24">
        <f t="shared" ref="AY15:AY25" si="36">L15/100</f>
        <v>0.16486290752581634</v>
      </c>
    </row>
    <row r="16" spans="1:53" ht="15.6" x14ac:dyDescent="0.3">
      <c r="C16" s="67" t="s">
        <v>140</v>
      </c>
      <c r="E16" s="1">
        <v>0.65</v>
      </c>
      <c r="F16" s="1">
        <v>0.1</v>
      </c>
      <c r="G16" s="5">
        <f t="shared" ref="G16:H25" si="37">G15</f>
        <v>5</v>
      </c>
      <c r="H16" s="5">
        <f t="shared" si="37"/>
        <v>1</v>
      </c>
      <c r="I16" s="59">
        <v>0</v>
      </c>
      <c r="J16" s="67" t="s">
        <v>140</v>
      </c>
      <c r="K16" s="61">
        <f t="shared" si="13"/>
        <v>10.342779999999998</v>
      </c>
      <c r="L16" s="22">
        <f t="shared" si="14"/>
        <v>21.62986678107</v>
      </c>
      <c r="M16" s="22">
        <f t="shared" si="15"/>
        <v>51.810970781069997</v>
      </c>
      <c r="N16" s="22">
        <f t="shared" si="0"/>
        <v>11.287086781070002</v>
      </c>
      <c r="O16" s="72">
        <f t="shared" si="16"/>
        <v>66.885507903102351</v>
      </c>
      <c r="P16" s="72">
        <f t="shared" si="1"/>
        <v>61.221907099779585</v>
      </c>
      <c r="Q16" s="5">
        <f t="shared" si="17"/>
        <v>1.2770092743016448</v>
      </c>
      <c r="R16" s="22">
        <f t="shared" si="2"/>
        <v>21.62986678107</v>
      </c>
      <c r="S16" s="59">
        <f t="shared" si="3"/>
        <v>0</v>
      </c>
      <c r="T16" s="5">
        <f t="shared" si="18"/>
        <v>-0.87352683702411105</v>
      </c>
      <c r="V16" s="5">
        <v>0.47689423148670018</v>
      </c>
      <c r="W16" s="5">
        <f t="shared" si="4"/>
        <v>0.51810970781069998</v>
      </c>
      <c r="X16" s="106">
        <v>56.492903730046969</v>
      </c>
      <c r="Y16" s="109">
        <f t="shared" si="19"/>
        <v>66.885507903102351</v>
      </c>
      <c r="Z16" s="24">
        <f t="shared" si="5"/>
        <v>0.10826999999999998</v>
      </c>
      <c r="AA16" s="24">
        <f t="shared" si="20"/>
        <v>0.10342779999999997</v>
      </c>
      <c r="AB16" s="5">
        <f t="shared" si="6"/>
        <v>0.24573</v>
      </c>
      <c r="AC16" s="5">
        <f t="shared" si="21"/>
        <v>0.21629866781070001</v>
      </c>
      <c r="AD16" s="5">
        <f t="shared" si="7"/>
        <v>0.26214000000000004</v>
      </c>
      <c r="AE16" s="5">
        <f t="shared" si="22"/>
        <v>0.32186104000000004</v>
      </c>
      <c r="AF16" s="5">
        <f t="shared" si="23"/>
        <v>0.53815970781070011</v>
      </c>
      <c r="AG16" s="5">
        <f t="shared" si="8"/>
        <v>-2.0050000000000012E-2</v>
      </c>
      <c r="AH16" s="5">
        <f t="shared" si="24"/>
        <v>0.51810970781070009</v>
      </c>
      <c r="AI16" s="5">
        <f t="shared" si="25"/>
        <v>1.2770092743016448</v>
      </c>
      <c r="AJ16" s="24">
        <f t="shared" si="9"/>
        <v>1.2770092743016448</v>
      </c>
      <c r="AK16" s="24">
        <f t="shared" si="26"/>
        <v>0.51810970781069998</v>
      </c>
      <c r="AL16" s="24">
        <f t="shared" si="27"/>
        <v>0</v>
      </c>
      <c r="AM16" s="24">
        <f t="shared" si="10"/>
        <v>0.21629866781070001</v>
      </c>
      <c r="AN16" s="24">
        <f t="shared" si="28"/>
        <v>0.30181103999999997</v>
      </c>
      <c r="AO16" s="24">
        <f t="shared" si="29"/>
        <v>0.19330413969290536</v>
      </c>
      <c r="AP16" s="24">
        <f t="shared" si="11"/>
        <v>1</v>
      </c>
      <c r="AQ16" s="25">
        <f t="shared" si="30"/>
        <v>66.885507903102351</v>
      </c>
      <c r="AR16" s="25">
        <f t="shared" si="31"/>
        <v>3.4062368119924575</v>
      </c>
      <c r="AS16" s="25">
        <f t="shared" si="32"/>
        <v>13.346389907517349</v>
      </c>
      <c r="AT16" s="5">
        <f t="shared" si="33"/>
        <v>5.1731949537586752</v>
      </c>
      <c r="AU16" s="24">
        <f t="shared" si="34"/>
        <v>1.1984442728329702E-2</v>
      </c>
      <c r="AV16" s="25">
        <f t="shared" si="12"/>
        <v>0.65462900687200687</v>
      </c>
      <c r="AW16" s="25">
        <f t="shared" si="35"/>
        <v>-0.11077328817176524</v>
      </c>
      <c r="AX16" s="5"/>
      <c r="AY16" s="24">
        <f t="shared" si="36"/>
        <v>0.21629866781070001</v>
      </c>
    </row>
    <row r="17" spans="2:51" ht="15.6" x14ac:dyDescent="0.3">
      <c r="C17" s="67" t="s">
        <v>141</v>
      </c>
      <c r="E17" s="1">
        <v>0.44</v>
      </c>
      <c r="F17" s="1">
        <v>0.18</v>
      </c>
      <c r="G17" s="5">
        <f t="shared" si="37"/>
        <v>5</v>
      </c>
      <c r="H17" s="5">
        <f t="shared" si="37"/>
        <v>1</v>
      </c>
      <c r="I17" s="59">
        <v>0</v>
      </c>
      <c r="J17" s="67" t="s">
        <v>141</v>
      </c>
      <c r="K17" s="61">
        <f t="shared" si="13"/>
        <v>14.277558399999998</v>
      </c>
      <c r="L17" s="22">
        <f t="shared" si="14"/>
        <v>29.29721254852684</v>
      </c>
      <c r="M17" s="22">
        <f t="shared" si="15"/>
        <v>52.377798468526848</v>
      </c>
      <c r="N17" s="22">
        <f t="shared" si="0"/>
        <v>15.019654148526842</v>
      </c>
      <c r="O17" s="72">
        <f t="shared" si="16"/>
        <v>31.276477670959462</v>
      </c>
      <c r="P17" s="72">
        <f t="shared" si="1"/>
        <v>120.57384786226093</v>
      </c>
      <c r="Q17" s="5">
        <f t="shared" si="17"/>
        <v>1.2619883405840384</v>
      </c>
      <c r="R17" s="22">
        <f t="shared" si="2"/>
        <v>29.29721254852684</v>
      </c>
      <c r="S17" s="59">
        <f t="shared" si="3"/>
        <v>0</v>
      </c>
      <c r="T17" s="5">
        <f t="shared" si="18"/>
        <v>-0.5809904315600356</v>
      </c>
      <c r="V17" s="5">
        <v>0.48287845911552063</v>
      </c>
      <c r="W17" s="5">
        <f t="shared" si="4"/>
        <v>0.52377798468526848</v>
      </c>
      <c r="X17" s="106">
        <v>23.481549906182593</v>
      </c>
      <c r="Y17" s="109">
        <f t="shared" si="19"/>
        <v>31.276477670959462</v>
      </c>
      <c r="Z17" s="24">
        <f t="shared" si="5"/>
        <v>0.14278559999999998</v>
      </c>
      <c r="AA17" s="24">
        <f t="shared" si="20"/>
        <v>0.14277558399999998</v>
      </c>
      <c r="AB17" s="5">
        <f t="shared" si="6"/>
        <v>0.30335839999999997</v>
      </c>
      <c r="AC17" s="5">
        <f t="shared" si="21"/>
        <v>0.29297212548526841</v>
      </c>
      <c r="AD17" s="5">
        <f t="shared" si="7"/>
        <v>0.2062872</v>
      </c>
      <c r="AE17" s="5">
        <f t="shared" si="22"/>
        <v>0.23048585920000003</v>
      </c>
      <c r="AF17" s="5">
        <f t="shared" si="23"/>
        <v>0.5234579846852685</v>
      </c>
      <c r="AG17" s="5">
        <f t="shared" si="8"/>
        <v>3.199999999999939E-4</v>
      </c>
      <c r="AH17" s="5">
        <f t="shared" si="24"/>
        <v>0.52377798468526848</v>
      </c>
      <c r="AI17" s="5">
        <f t="shared" si="25"/>
        <v>1.2619883405840384</v>
      </c>
      <c r="AJ17" s="24">
        <f t="shared" si="9"/>
        <v>1.2619883405840384</v>
      </c>
      <c r="AK17" s="24">
        <f t="shared" si="26"/>
        <v>0.52377798468526848</v>
      </c>
      <c r="AL17" s="24">
        <f t="shared" si="27"/>
        <v>0</v>
      </c>
      <c r="AM17" s="24">
        <f t="shared" si="10"/>
        <v>0.29297212548526841</v>
      </c>
      <c r="AN17" s="24">
        <f t="shared" si="28"/>
        <v>0.23080585920000007</v>
      </c>
      <c r="AO17" s="24">
        <f t="shared" si="29"/>
        <v>0.18833049474108551</v>
      </c>
      <c r="AP17" s="24">
        <f t="shared" si="11"/>
        <v>1</v>
      </c>
      <c r="AQ17" s="25">
        <f t="shared" si="30"/>
        <v>31.276477670959462</v>
      </c>
      <c r="AR17" s="25">
        <f t="shared" si="31"/>
        <v>3.7145640908963298</v>
      </c>
      <c r="AS17" s="25">
        <f t="shared" si="32"/>
        <v>13.61962908741665</v>
      </c>
      <c r="AT17" s="5">
        <f t="shared" si="33"/>
        <v>5.3098145437083248</v>
      </c>
      <c r="AU17" s="24">
        <f t="shared" si="34"/>
        <v>4.8692321748520354E-2</v>
      </c>
      <c r="AV17" s="25">
        <f t="shared" si="12"/>
        <v>2.3563675207486767</v>
      </c>
      <c r="AW17" s="25">
        <f t="shared" si="35"/>
        <v>1.5011473487608615</v>
      </c>
      <c r="AX17" s="5"/>
      <c r="AY17" s="24">
        <f t="shared" si="36"/>
        <v>0.29297212548526841</v>
      </c>
    </row>
    <row r="18" spans="2:51" ht="15.6" x14ac:dyDescent="0.3">
      <c r="C18" s="67" t="s">
        <v>142</v>
      </c>
      <c r="E18" s="1">
        <v>0.22</v>
      </c>
      <c r="F18" s="1">
        <v>0.15</v>
      </c>
      <c r="G18" s="5">
        <f t="shared" si="37"/>
        <v>5</v>
      </c>
      <c r="H18" s="5">
        <f t="shared" si="37"/>
        <v>1</v>
      </c>
      <c r="I18" s="59">
        <v>0</v>
      </c>
      <c r="J18" s="67" t="s">
        <v>142</v>
      </c>
      <c r="K18" s="61">
        <f t="shared" si="13"/>
        <v>12.451096</v>
      </c>
      <c r="L18" s="22">
        <f t="shared" si="14"/>
        <v>33.026249875532798</v>
      </c>
      <c r="M18" s="22">
        <f t="shared" si="15"/>
        <v>56.384106675532799</v>
      </c>
      <c r="N18" s="22">
        <f t="shared" si="0"/>
        <v>20.575153875532799</v>
      </c>
      <c r="O18" s="105">
        <f t="shared" si="16"/>
        <v>35.667712259469134</v>
      </c>
      <c r="P18" s="72">
        <f t="shared" si="1"/>
        <v>213.86917525197734</v>
      </c>
      <c r="Q18" s="5">
        <f t="shared" si="17"/>
        <v>1.1558211730983809</v>
      </c>
      <c r="R18" s="22">
        <f t="shared" si="2"/>
        <v>33.026249875532798</v>
      </c>
      <c r="S18" s="59">
        <f t="shared" si="3"/>
        <v>0</v>
      </c>
      <c r="T18" s="5">
        <f t="shared" si="18"/>
        <v>-0.5348846262218967</v>
      </c>
      <c r="V18" s="5">
        <v>0.51145961324532296</v>
      </c>
      <c r="W18" s="5">
        <f t="shared" si="4"/>
        <v>0.56384106675532797</v>
      </c>
      <c r="X18" s="106">
        <v>23.224503980325125</v>
      </c>
      <c r="Y18" s="109">
        <f t="shared" si="19"/>
        <v>35.667712259469134</v>
      </c>
      <c r="Z18" s="24">
        <f t="shared" si="5"/>
        <v>0.12676399999999999</v>
      </c>
      <c r="AA18" s="24">
        <f t="shared" si="20"/>
        <v>0.12451095999999999</v>
      </c>
      <c r="AB18" s="5">
        <f t="shared" si="6"/>
        <v>0.32929599999999998</v>
      </c>
      <c r="AC18" s="5">
        <f t="shared" si="21"/>
        <v>0.33026249875532798</v>
      </c>
      <c r="AD18" s="5">
        <f t="shared" si="7"/>
        <v>0.194938</v>
      </c>
      <c r="AE18" s="5">
        <f t="shared" si="22"/>
        <v>0.211918568</v>
      </c>
      <c r="AF18" s="5">
        <f t="shared" si="23"/>
        <v>0.54218106675532796</v>
      </c>
      <c r="AG18" s="5">
        <f t="shared" si="8"/>
        <v>2.1659999999999995E-2</v>
      </c>
      <c r="AH18" s="5">
        <f t="shared" si="24"/>
        <v>0.56384106675532797</v>
      </c>
      <c r="AI18" s="5">
        <f t="shared" si="25"/>
        <v>1.1558211730983809</v>
      </c>
      <c r="AJ18" s="24">
        <f t="shared" si="9"/>
        <v>1.1558211730983809</v>
      </c>
      <c r="AK18" s="24">
        <f t="shared" si="26"/>
        <v>0.56384106675532797</v>
      </c>
      <c r="AL18" s="24">
        <f t="shared" si="27"/>
        <v>0</v>
      </c>
      <c r="AM18" s="24">
        <f t="shared" si="10"/>
        <v>0.33026249875532798</v>
      </c>
      <c r="AN18" s="24">
        <f t="shared" si="28"/>
        <v>0.23357856799999999</v>
      </c>
      <c r="AO18" s="24">
        <f t="shared" si="29"/>
        <v>0.25558486829902816</v>
      </c>
      <c r="AP18" s="24">
        <f t="shared" si="11"/>
        <v>1</v>
      </c>
      <c r="AQ18" s="25">
        <f t="shared" si="30"/>
        <v>35.667712259469134</v>
      </c>
      <c r="AR18" s="25">
        <f t="shared" si="31"/>
        <v>3.659344613681621</v>
      </c>
      <c r="AS18" s="25"/>
      <c r="AT18" s="5">
        <f t="shared" si="33"/>
        <v>3.9125946956688531</v>
      </c>
      <c r="AU18" s="24">
        <f t="shared" si="34"/>
        <v>0.43251905178065625</v>
      </c>
      <c r="AV18" s="25">
        <f t="shared" si="12"/>
        <v>3.4642770782889656</v>
      </c>
      <c r="AW18" s="25">
        <f t="shared" si="35"/>
        <v>2.6128380819454793</v>
      </c>
      <c r="AX18" s="5"/>
      <c r="AY18" s="24">
        <f t="shared" si="36"/>
        <v>0.33026249875532798</v>
      </c>
    </row>
    <row r="19" spans="2:51" ht="15.6" x14ac:dyDescent="0.3">
      <c r="C19" s="67" t="s">
        <v>143</v>
      </c>
      <c r="E19" s="1">
        <v>0.1</v>
      </c>
      <c r="F19" s="1">
        <v>7.0000000000000007E-2</v>
      </c>
      <c r="G19" s="5">
        <f t="shared" si="37"/>
        <v>5</v>
      </c>
      <c r="H19" s="5">
        <f t="shared" si="37"/>
        <v>1</v>
      </c>
      <c r="I19" s="59">
        <v>0</v>
      </c>
      <c r="J19" s="67" t="s">
        <v>143</v>
      </c>
      <c r="K19" s="61">
        <f t="shared" si="13"/>
        <v>8.3872239999999998</v>
      </c>
      <c r="L19" s="22">
        <f t="shared" si="14"/>
        <v>34.505264315596804</v>
      </c>
      <c r="M19" s="22">
        <f t="shared" si="15"/>
        <v>59.1422955155968</v>
      </c>
      <c r="N19" s="22">
        <f t="shared" si="0"/>
        <v>26.118040315596804</v>
      </c>
      <c r="O19" s="72">
        <f t="shared" si="16"/>
        <v>48.505209626312684</v>
      </c>
      <c r="P19" s="72">
        <f t="shared" si="1"/>
        <v>260.95279972658193</v>
      </c>
      <c r="Q19" s="5">
        <f t="shared" si="17"/>
        <v>1.0827291688366847</v>
      </c>
      <c r="R19" s="22">
        <f t="shared" si="2"/>
        <v>34.505264315596804</v>
      </c>
      <c r="S19" s="59">
        <f t="shared" si="3"/>
        <v>0</v>
      </c>
      <c r="T19" s="5">
        <f t="shared" si="18"/>
        <v>-0.53883442735711828</v>
      </c>
      <c r="V19" s="5">
        <v>0.52496511829108294</v>
      </c>
      <c r="W19" s="5">
        <f t="shared" si="4"/>
        <v>0.59142295515596799</v>
      </c>
      <c r="X19" s="106">
        <v>29.25290209071526</v>
      </c>
      <c r="Y19" s="109">
        <f t="shared" si="19"/>
        <v>48.505209626312684</v>
      </c>
      <c r="Z19" s="24">
        <f t="shared" si="5"/>
        <v>9.1116000000000003E-2</v>
      </c>
      <c r="AA19" s="24">
        <f t="shared" si="20"/>
        <v>8.3872240000000001E-2</v>
      </c>
      <c r="AB19" s="5">
        <f t="shared" si="6"/>
        <v>0.33926400000000001</v>
      </c>
      <c r="AC19" s="5">
        <f t="shared" si="21"/>
        <v>0.34505264315596801</v>
      </c>
      <c r="AD19" s="5">
        <f t="shared" si="7"/>
        <v>0.19564199999999998</v>
      </c>
      <c r="AE19" s="5">
        <f t="shared" si="22"/>
        <v>0.21307031199999998</v>
      </c>
      <c r="AF19" s="5">
        <f t="shared" si="23"/>
        <v>0.55812295515596799</v>
      </c>
      <c r="AG19" s="5">
        <f t="shared" si="8"/>
        <v>3.3299999999999996E-2</v>
      </c>
      <c r="AH19" s="5">
        <f t="shared" si="24"/>
        <v>0.59142295515596799</v>
      </c>
      <c r="AI19" s="5">
        <f t="shared" si="25"/>
        <v>1.0827291688366847</v>
      </c>
      <c r="AJ19" s="24">
        <f t="shared" si="9"/>
        <v>1.0827291688366847</v>
      </c>
      <c r="AK19" s="24">
        <f t="shared" si="26"/>
        <v>0.59142295515596799</v>
      </c>
      <c r="AL19" s="24">
        <f t="shared" si="27"/>
        <v>0</v>
      </c>
      <c r="AM19" s="24">
        <f t="shared" si="10"/>
        <v>0.34505264315596801</v>
      </c>
      <c r="AN19" s="24">
        <f t="shared" si="28"/>
        <v>0.24637031199999998</v>
      </c>
      <c r="AO19" s="24">
        <f t="shared" si="29"/>
        <v>0.37058127509958028</v>
      </c>
      <c r="AP19" s="24">
        <f t="shared" si="11"/>
        <v>1</v>
      </c>
      <c r="AQ19" s="25">
        <f t="shared" si="30"/>
        <v>48.505209626312684</v>
      </c>
      <c r="AR19" s="25">
        <f t="shared" si="31"/>
        <v>3.5333187130428221</v>
      </c>
      <c r="AS19" s="25"/>
      <c r="AT19" s="5">
        <f t="shared" si="33"/>
        <v>2.6984633795414683</v>
      </c>
      <c r="AU19" s="24">
        <f t="shared" si="34"/>
        <v>1.8685920753570571</v>
      </c>
      <c r="AV19" s="25">
        <f t="shared" si="12"/>
        <v>4.8357516455161615</v>
      </c>
      <c r="AW19" s="25">
        <f t="shared" si="35"/>
        <v>4.0570015891150808</v>
      </c>
      <c r="AX19" s="5"/>
      <c r="AY19" s="24">
        <f t="shared" si="36"/>
        <v>0.34505264315596806</v>
      </c>
    </row>
    <row r="20" spans="2:51" ht="15.6" x14ac:dyDescent="0.3">
      <c r="C20" s="67" t="s">
        <v>144</v>
      </c>
      <c r="E20" s="1">
        <v>0.6</v>
      </c>
      <c r="F20" s="1">
        <v>0.25</v>
      </c>
      <c r="G20" s="5">
        <f t="shared" si="37"/>
        <v>5</v>
      </c>
      <c r="H20" s="5">
        <f t="shared" si="37"/>
        <v>1</v>
      </c>
      <c r="I20" s="59">
        <v>0</v>
      </c>
      <c r="J20" s="67" t="s">
        <v>144</v>
      </c>
      <c r="K20" s="61">
        <f t="shared" si="13"/>
        <v>18.212199999999999</v>
      </c>
      <c r="L20" s="22">
        <f t="shared" si="14"/>
        <v>29.415499212</v>
      </c>
      <c r="M20" s="22">
        <f t="shared" si="15"/>
        <v>47.944119212000004</v>
      </c>
      <c r="N20" s="22">
        <f t="shared" si="0"/>
        <v>11.203299212000001</v>
      </c>
      <c r="O20" s="72">
        <f t="shared" si="16"/>
        <v>15.172432168096199</v>
      </c>
      <c r="P20" s="72">
        <f t="shared" si="1"/>
        <v>64.852892884962273</v>
      </c>
      <c r="Q20" s="5">
        <f t="shared" si="17"/>
        <v>1.3794808408819998</v>
      </c>
      <c r="R20" s="22">
        <f t="shared" si="2"/>
        <v>29.415499212</v>
      </c>
      <c r="S20" s="59">
        <f t="shared" si="3"/>
        <v>0</v>
      </c>
      <c r="T20" s="5">
        <f t="shared" si="18"/>
        <v>-0.4885144301234644</v>
      </c>
      <c r="V20" s="5">
        <v>0.45213633434187506</v>
      </c>
      <c r="W20" s="5">
        <f t="shared" si="4"/>
        <v>0.47944119212000003</v>
      </c>
      <c r="X20" s="106">
        <v>12.731059666440757</v>
      </c>
      <c r="Y20" s="109">
        <f t="shared" si="19"/>
        <v>15.172432168096199</v>
      </c>
      <c r="Z20" s="24">
        <f t="shared" si="5"/>
        <v>0.17729999999999999</v>
      </c>
      <c r="AA20" s="24">
        <f t="shared" si="20"/>
        <v>0.18212200000000001</v>
      </c>
      <c r="AB20" s="5">
        <f t="shared" si="6"/>
        <v>0.30420000000000003</v>
      </c>
      <c r="AC20" s="5">
        <f t="shared" si="21"/>
        <v>0.29415499212000001</v>
      </c>
      <c r="AD20" s="5">
        <f t="shared" si="7"/>
        <v>0.18795000000000001</v>
      </c>
      <c r="AE20" s="5">
        <f t="shared" si="22"/>
        <v>0.2004862</v>
      </c>
      <c r="AF20" s="5">
        <f t="shared" si="23"/>
        <v>0.49464119212000002</v>
      </c>
      <c r="AG20" s="5">
        <f t="shared" si="8"/>
        <v>-1.5200000000000005E-2</v>
      </c>
      <c r="AH20" s="5">
        <f t="shared" si="24"/>
        <v>0.47944119212000003</v>
      </c>
      <c r="AI20" s="5">
        <f t="shared" si="25"/>
        <v>1.3794808408819998</v>
      </c>
      <c r="AJ20" s="24">
        <f t="shared" si="9"/>
        <v>1.3794808408819998</v>
      </c>
      <c r="AK20" s="24">
        <f t="shared" si="26"/>
        <v>0.47944119212000003</v>
      </c>
      <c r="AL20" s="24">
        <f t="shared" si="27"/>
        <v>0</v>
      </c>
      <c r="AM20" s="24">
        <f t="shared" si="10"/>
        <v>0.29415499212000001</v>
      </c>
      <c r="AN20" s="24">
        <f t="shared" si="28"/>
        <v>0.18528620000000001</v>
      </c>
      <c r="AO20" s="94">
        <f t="shared" si="29"/>
        <v>0.12561333331456556</v>
      </c>
      <c r="AP20" s="24">
        <f t="shared" si="11"/>
        <v>1</v>
      </c>
      <c r="AQ20" s="25">
        <f t="shared" si="30"/>
        <v>15.172432168096199</v>
      </c>
      <c r="AR20" s="25">
        <f t="shared" si="31"/>
        <v>4.0338746268173988</v>
      </c>
      <c r="AS20" s="25">
        <f t="shared" si="32"/>
        <v>18.921876660907692</v>
      </c>
      <c r="AT20" s="5">
        <f t="shared" si="33"/>
        <v>7.9609383304538452</v>
      </c>
      <c r="AU20" s="24">
        <f t="shared" si="34"/>
        <v>1.9403587151334966E-3</v>
      </c>
      <c r="AV20" s="25">
        <f t="shared" si="12"/>
        <v>2.3830985888200047</v>
      </c>
      <c r="AW20" s="95">
        <f t="shared" si="35"/>
        <v>1.5273916259640621</v>
      </c>
      <c r="AX20" s="5"/>
      <c r="AY20" s="24">
        <f t="shared" si="36"/>
        <v>0.29415499212000001</v>
      </c>
    </row>
    <row r="21" spans="2:51" ht="15.6" x14ac:dyDescent="0.3">
      <c r="C21" s="67" t="s">
        <v>145</v>
      </c>
      <c r="E21" s="1">
        <v>0.34</v>
      </c>
      <c r="F21" s="1">
        <v>0.34</v>
      </c>
      <c r="G21" s="5">
        <f t="shared" si="37"/>
        <v>5</v>
      </c>
      <c r="H21" s="5">
        <f t="shared" si="37"/>
        <v>1</v>
      </c>
      <c r="I21" s="59">
        <v>0</v>
      </c>
      <c r="J21" s="67" t="s">
        <v>145</v>
      </c>
      <c r="K21" s="61">
        <f t="shared" si="13"/>
        <v>22.245611200000003</v>
      </c>
      <c r="L21" s="22">
        <f t="shared" si="14"/>
        <v>36.357364993973945</v>
      </c>
      <c r="M21" s="22">
        <f t="shared" si="15"/>
        <v>51.210751553973957</v>
      </c>
      <c r="N21" s="22">
        <f t="shared" si="0"/>
        <v>14.111753793973943</v>
      </c>
      <c r="O21" s="72">
        <f t="shared" si="16"/>
        <v>8.0840453681644071</v>
      </c>
      <c r="P21" s="72">
        <f t="shared" si="1"/>
        <v>208.04027970192007</v>
      </c>
      <c r="Q21" s="5">
        <f t="shared" si="17"/>
        <v>1.2929150838196901</v>
      </c>
      <c r="R21" s="22">
        <f t="shared" si="2"/>
        <v>36.357364993973945</v>
      </c>
      <c r="S21" s="59">
        <f t="shared" si="3"/>
        <v>0</v>
      </c>
      <c r="T21" s="5">
        <f t="shared" si="18"/>
        <v>-0.34255270451843217</v>
      </c>
      <c r="V21" s="5">
        <v>0.48686173585007153</v>
      </c>
      <c r="W21" s="5">
        <f t="shared" si="4"/>
        <v>0.51210751553973954</v>
      </c>
      <c r="X21" s="106">
        <v>5.7753169717507733</v>
      </c>
      <c r="Y21" s="109">
        <f t="shared" si="19"/>
        <v>8.0840453681644071</v>
      </c>
      <c r="Z21" s="24">
        <f t="shared" si="5"/>
        <v>0.2126808</v>
      </c>
      <c r="AA21" s="24">
        <f t="shared" si="20"/>
        <v>0.22245611200000001</v>
      </c>
      <c r="AB21" s="5">
        <f t="shared" si="6"/>
        <v>0.35151119999999997</v>
      </c>
      <c r="AC21" s="5">
        <f t="shared" si="21"/>
        <v>0.36357364993973945</v>
      </c>
      <c r="AD21" s="5">
        <f t="shared" si="7"/>
        <v>0.1500696</v>
      </c>
      <c r="AE21" s="5">
        <f t="shared" si="22"/>
        <v>0.13851386560000001</v>
      </c>
      <c r="AF21" s="5">
        <f t="shared" si="23"/>
        <v>0.50208751553973952</v>
      </c>
      <c r="AG21" s="5">
        <f t="shared" si="8"/>
        <v>1.0019999999999994E-2</v>
      </c>
      <c r="AH21" s="5">
        <f t="shared" si="24"/>
        <v>0.51210751553973954</v>
      </c>
      <c r="AI21" s="5">
        <f t="shared" si="25"/>
        <v>1.2929150838196901</v>
      </c>
      <c r="AJ21" s="24">
        <f t="shared" si="9"/>
        <v>1.2929150838196901</v>
      </c>
      <c r="AK21" s="24">
        <f t="shared" si="26"/>
        <v>0.51210751553973954</v>
      </c>
      <c r="AL21" s="24">
        <f t="shared" si="27"/>
        <v>0</v>
      </c>
      <c r="AM21" s="24">
        <f t="shared" si="10"/>
        <v>0.36357364993973945</v>
      </c>
      <c r="AN21" s="24">
        <f t="shared" si="28"/>
        <v>0.14853386560000009</v>
      </c>
      <c r="AO21" s="24">
        <f t="shared" si="29"/>
        <v>0.12871077272427189</v>
      </c>
      <c r="AP21" s="24">
        <f t="shared" si="11"/>
        <v>1</v>
      </c>
      <c r="AQ21" s="25">
        <f t="shared" si="30"/>
        <v>8.0840453681644071</v>
      </c>
      <c r="AR21" s="25">
        <f t="shared" si="31"/>
        <v>4.3340409746950597</v>
      </c>
      <c r="AS21" s="25">
        <f t="shared" si="32"/>
        <v>18.538714885073841</v>
      </c>
      <c r="AT21" s="5">
        <f t="shared" si="33"/>
        <v>7.7693574425369203</v>
      </c>
      <c r="AU21" s="24">
        <f t="shared" si="34"/>
        <v>1.272328435725995E-2</v>
      </c>
      <c r="AV21" s="25">
        <f t="shared" si="12"/>
        <v>3.7536541258921545</v>
      </c>
      <c r="AW21" s="25">
        <f t="shared" si="35"/>
        <v>2.9112895956028852</v>
      </c>
      <c r="AX21" s="5"/>
      <c r="AY21" s="24">
        <f t="shared" si="36"/>
        <v>0.36357364993973945</v>
      </c>
    </row>
    <row r="22" spans="2:51" ht="15.6" x14ac:dyDescent="0.3">
      <c r="C22" s="67" t="s">
        <v>146</v>
      </c>
      <c r="E22" s="1">
        <v>0.12</v>
      </c>
      <c r="F22" s="1">
        <v>0.35</v>
      </c>
      <c r="G22" s="5">
        <f t="shared" si="37"/>
        <v>5</v>
      </c>
      <c r="H22" s="5">
        <f t="shared" si="37"/>
        <v>1</v>
      </c>
      <c r="I22" s="59">
        <v>0</v>
      </c>
      <c r="J22" s="67" t="s">
        <v>146</v>
      </c>
      <c r="K22" s="61">
        <f t="shared" si="13"/>
        <v>22.131064000000002</v>
      </c>
      <c r="L22" s="22">
        <f t="shared" si="14"/>
        <v>38.827568623276804</v>
      </c>
      <c r="M22" s="22">
        <f t="shared" si="15"/>
        <v>55.9151438232768</v>
      </c>
      <c r="N22" s="22">
        <f t="shared" si="0"/>
        <v>16.696504623276802</v>
      </c>
      <c r="O22" s="72">
        <f t="shared" si="16"/>
        <v>12.491484114118247</v>
      </c>
      <c r="P22" s="72">
        <f t="shared" si="1"/>
        <v>344.00044791949489</v>
      </c>
      <c r="Q22" s="5">
        <f t="shared" si="17"/>
        <v>1.1682486886831647</v>
      </c>
      <c r="R22" s="22">
        <f t="shared" si="2"/>
        <v>38.827568623276804</v>
      </c>
      <c r="S22" s="59">
        <f t="shared" si="3"/>
        <v>0</v>
      </c>
      <c r="T22" s="5">
        <f t="shared" si="18"/>
        <v>-0.36470472680487831</v>
      </c>
      <c r="V22" s="5">
        <v>0.52832710588212295</v>
      </c>
      <c r="W22" s="5">
        <f t="shared" si="4"/>
        <v>0.55915143823276803</v>
      </c>
      <c r="X22" s="106">
        <v>7.8864855499959345</v>
      </c>
      <c r="Y22" s="109">
        <f t="shared" si="19"/>
        <v>12.491484114118247</v>
      </c>
      <c r="Z22" s="24">
        <f t="shared" si="5"/>
        <v>0.211676</v>
      </c>
      <c r="AA22" s="24">
        <f t="shared" si="20"/>
        <v>0.22131064000000003</v>
      </c>
      <c r="AB22" s="5">
        <f t="shared" si="6"/>
        <v>0.36746400000000001</v>
      </c>
      <c r="AC22" s="5">
        <f t="shared" si="21"/>
        <v>0.38827568623276804</v>
      </c>
      <c r="AD22" s="5">
        <f t="shared" si="7"/>
        <v>0.15068199999999998</v>
      </c>
      <c r="AE22" s="5">
        <f t="shared" si="22"/>
        <v>0.13951575199999999</v>
      </c>
      <c r="AF22" s="5">
        <f t="shared" si="23"/>
        <v>0.52779143823276797</v>
      </c>
      <c r="AG22" s="5">
        <f t="shared" si="8"/>
        <v>3.1359999999999999E-2</v>
      </c>
      <c r="AH22" s="5">
        <f t="shared" si="24"/>
        <v>0.55915143823276803</v>
      </c>
      <c r="AI22" s="5">
        <f t="shared" si="25"/>
        <v>1.1682486886831647</v>
      </c>
      <c r="AJ22" s="24">
        <f t="shared" si="9"/>
        <v>1.1682486886831647</v>
      </c>
      <c r="AK22" s="24">
        <f t="shared" si="26"/>
        <v>0.55915143823276803</v>
      </c>
      <c r="AL22" s="24">
        <f t="shared" si="27"/>
        <v>0</v>
      </c>
      <c r="AM22" s="24">
        <f t="shared" si="10"/>
        <v>0.38827568623276804</v>
      </c>
      <c r="AN22" s="24">
        <f t="shared" si="28"/>
        <v>0.17087575199999999</v>
      </c>
      <c r="AO22" s="24">
        <f t="shared" si="29"/>
        <v>0.14728598118195022</v>
      </c>
      <c r="AP22" s="24">
        <f t="shared" si="11"/>
        <v>1</v>
      </c>
      <c r="AQ22" s="25">
        <f t="shared" si="30"/>
        <v>12.491484114118247</v>
      </c>
      <c r="AR22" s="25">
        <f t="shared" si="31"/>
        <v>4.1242851926231046</v>
      </c>
      <c r="AS22" s="25">
        <f t="shared" si="32"/>
        <v>16.579024860005472</v>
      </c>
      <c r="AT22" s="5">
        <f t="shared" si="33"/>
        <v>6.7895124300027359</v>
      </c>
      <c r="AU22" s="24">
        <f t="shared" si="34"/>
        <v>5.3576728748423959E-2</v>
      </c>
      <c r="AV22" s="25">
        <f t="shared" si="12"/>
        <v>3.3208579732398427</v>
      </c>
      <c r="AW22" s="25">
        <f t="shared" si="35"/>
        <v>2.4661629758323533</v>
      </c>
      <c r="AX22" s="5"/>
      <c r="AY22" s="24">
        <f t="shared" si="36"/>
        <v>0.38827568623276804</v>
      </c>
    </row>
    <row r="23" spans="2:51" ht="15.6" x14ac:dyDescent="0.3">
      <c r="C23" s="67" t="s">
        <v>147</v>
      </c>
      <c r="E23" s="1">
        <v>0.1</v>
      </c>
      <c r="F23" s="1">
        <v>0.45</v>
      </c>
      <c r="G23" s="5">
        <f t="shared" si="37"/>
        <v>5</v>
      </c>
      <c r="H23" s="5">
        <f t="shared" si="37"/>
        <v>1</v>
      </c>
      <c r="I23" s="59">
        <v>0</v>
      </c>
      <c r="J23" s="67" t="s">
        <v>147</v>
      </c>
      <c r="K23" s="61">
        <f t="shared" si="13"/>
        <v>26.96284</v>
      </c>
      <c r="L23" s="22">
        <f t="shared" si="14"/>
        <v>40.692912026080002</v>
      </c>
      <c r="M23" s="22">
        <f t="shared" si="15"/>
        <v>55.420364026079994</v>
      </c>
      <c r="N23" s="22">
        <f t="shared" si="0"/>
        <v>13.730072026080002</v>
      </c>
      <c r="O23" s="72">
        <f t="shared" si="16"/>
        <v>7.579652114816688</v>
      </c>
      <c r="P23" s="72">
        <f t="shared" si="1"/>
        <v>425.61170446439587</v>
      </c>
      <c r="Q23" s="5">
        <f t="shared" si="17"/>
        <v>1.1813603533088801</v>
      </c>
      <c r="R23" s="22">
        <f t="shared" si="2"/>
        <v>40.692912026080002</v>
      </c>
      <c r="S23" s="59">
        <f t="shared" si="3"/>
        <v>0</v>
      </c>
      <c r="T23" s="5">
        <f t="shared" si="18"/>
        <v>-0.3088931823208152</v>
      </c>
      <c r="V23" s="5">
        <v>0.53576909562067487</v>
      </c>
      <c r="W23" s="5">
        <f t="shared" si="4"/>
        <v>0.55420364026079993</v>
      </c>
      <c r="X23" s="106">
        <v>5.0173216966832497</v>
      </c>
      <c r="Y23" s="109">
        <f t="shared" si="19"/>
        <v>7.579652114816688</v>
      </c>
      <c r="Z23" s="24">
        <f t="shared" si="5"/>
        <v>0.25406000000000001</v>
      </c>
      <c r="AA23" s="24">
        <f t="shared" si="20"/>
        <v>0.26962839999999999</v>
      </c>
      <c r="AB23" s="5">
        <f t="shared" si="6"/>
        <v>0.37924000000000002</v>
      </c>
      <c r="AC23" s="5">
        <f t="shared" si="21"/>
        <v>0.40692912026080003</v>
      </c>
      <c r="AD23" s="5">
        <f t="shared" si="7"/>
        <v>0.13506999999999997</v>
      </c>
      <c r="AE23" s="5">
        <f t="shared" si="22"/>
        <v>0.11397451999999995</v>
      </c>
      <c r="AF23" s="5">
        <f t="shared" si="23"/>
        <v>0.52090364026079994</v>
      </c>
      <c r="AG23" s="5">
        <f t="shared" si="8"/>
        <v>3.3299999999999996E-2</v>
      </c>
      <c r="AH23" s="5">
        <f t="shared" si="24"/>
        <v>0.55420364026079993</v>
      </c>
      <c r="AI23" s="5">
        <f t="shared" si="25"/>
        <v>1.1813603533088801</v>
      </c>
      <c r="AJ23" s="24">
        <f t="shared" si="9"/>
        <v>1.1813603533088801</v>
      </c>
      <c r="AK23" s="24">
        <f t="shared" si="26"/>
        <v>0.55420364026079993</v>
      </c>
      <c r="AL23" s="24">
        <f t="shared" si="27"/>
        <v>0</v>
      </c>
      <c r="AM23" s="24">
        <f t="shared" si="10"/>
        <v>0.40692912026080003</v>
      </c>
      <c r="AN23" s="24">
        <f t="shared" si="28"/>
        <v>0.14727451999999991</v>
      </c>
      <c r="AO23" s="24">
        <f t="shared" si="29"/>
        <v>0.10783999809557214</v>
      </c>
      <c r="AP23" s="24">
        <f t="shared" si="11"/>
        <v>1</v>
      </c>
      <c r="AQ23" s="25">
        <f t="shared" si="30"/>
        <v>7.579652114816688</v>
      </c>
      <c r="AR23" s="25">
        <f t="shared" si="31"/>
        <v>4.3659893535937755</v>
      </c>
      <c r="AS23" s="25">
        <f t="shared" si="32"/>
        <v>21.545994392799592</v>
      </c>
      <c r="AT23" s="5">
        <f t="shared" si="33"/>
        <v>9.2729971963997979</v>
      </c>
      <c r="AU23" s="24">
        <f t="shared" si="34"/>
        <v>7.8991904420374539E-3</v>
      </c>
      <c r="AV23" s="25">
        <f t="shared" si="12"/>
        <v>2.5807250276880076</v>
      </c>
      <c r="AW23" s="25">
        <f t="shared" si="35"/>
        <v>1.7223059329299681</v>
      </c>
      <c r="AX23" s="5"/>
      <c r="AY23" s="24">
        <f t="shared" si="36"/>
        <v>0.40692912026080003</v>
      </c>
    </row>
    <row r="24" spans="2:51" ht="15.6" x14ac:dyDescent="0.3">
      <c r="C24" s="67" t="s">
        <v>148</v>
      </c>
      <c r="E24" s="1">
        <v>0.5</v>
      </c>
      <c r="F24" s="1">
        <v>0.4</v>
      </c>
      <c r="G24" s="5">
        <f t="shared" si="37"/>
        <v>5</v>
      </c>
      <c r="H24" s="5">
        <f t="shared" si="37"/>
        <v>1</v>
      </c>
      <c r="I24" s="59">
        <v>0</v>
      </c>
      <c r="J24" s="67" t="s">
        <v>148</v>
      </c>
      <c r="K24" s="61">
        <f t="shared" si="13"/>
        <v>25.804600000000001</v>
      </c>
      <c r="L24" s="22">
        <f t="shared" si="14"/>
        <v>37.338796203000001</v>
      </c>
      <c r="M24" s="22">
        <f t="shared" si="15"/>
        <v>46.506076202999999</v>
      </c>
      <c r="N24" s="22">
        <f t="shared" si="0"/>
        <v>11.534196203</v>
      </c>
      <c r="O24" s="72">
        <f t="shared" si="16"/>
        <v>1.8738722883530468</v>
      </c>
      <c r="P24" s="72">
        <f t="shared" si="1"/>
        <v>127.18741231327758</v>
      </c>
      <c r="Q24" s="5">
        <f t="shared" si="17"/>
        <v>1.4175889806205</v>
      </c>
      <c r="R24" s="22">
        <f t="shared" si="2"/>
        <v>37.338796203000001</v>
      </c>
      <c r="S24" s="59">
        <f t="shared" si="3"/>
        <v>0</v>
      </c>
      <c r="T24" s="5">
        <f t="shared" si="18"/>
        <v>-0.21955007630052836</v>
      </c>
      <c r="V24" s="5">
        <v>0.45227853963000003</v>
      </c>
      <c r="W24" s="5">
        <f t="shared" si="4"/>
        <v>0.46506076203000002</v>
      </c>
      <c r="X24" s="106">
        <v>1.5732814041398711</v>
      </c>
      <c r="Y24" s="109">
        <f t="shared" si="19"/>
        <v>1.8738722883530468</v>
      </c>
      <c r="Z24" s="24">
        <f t="shared" si="5"/>
        <v>0.24390000000000001</v>
      </c>
      <c r="AA24" s="24">
        <f t="shared" si="20"/>
        <v>0.258046</v>
      </c>
      <c r="AB24" s="5">
        <f t="shared" si="6"/>
        <v>0.3579</v>
      </c>
      <c r="AC24" s="5">
        <f t="shared" si="21"/>
        <v>0.37338796203000002</v>
      </c>
      <c r="AD24" s="5">
        <f t="shared" si="7"/>
        <v>0.12480000000000002</v>
      </c>
      <c r="AE24" s="5">
        <f t="shared" si="22"/>
        <v>9.7172800000000045E-2</v>
      </c>
      <c r="AF24" s="5">
        <f t="shared" si="23"/>
        <v>0.47056076203000008</v>
      </c>
      <c r="AG24" s="5">
        <f t="shared" si="8"/>
        <v>-5.5000000000000049E-3</v>
      </c>
      <c r="AH24" s="5">
        <f t="shared" si="24"/>
        <v>0.46506076203000007</v>
      </c>
      <c r="AI24" s="5">
        <f t="shared" si="25"/>
        <v>1.4175889806205</v>
      </c>
      <c r="AJ24" s="24">
        <f t="shared" si="9"/>
        <v>1.4175889806205</v>
      </c>
      <c r="AK24" s="24">
        <f t="shared" si="26"/>
        <v>0.46506076203000002</v>
      </c>
      <c r="AL24" s="24">
        <f t="shared" si="27"/>
        <v>0</v>
      </c>
      <c r="AM24" s="24">
        <f t="shared" si="10"/>
        <v>0.37338796203000002</v>
      </c>
      <c r="AN24" s="24">
        <f t="shared" si="28"/>
        <v>9.1672799999999999E-2</v>
      </c>
      <c r="AO24" s="24">
        <f t="shared" si="29"/>
        <v>9.6805849708985786E-2</v>
      </c>
      <c r="AP24" s="24">
        <f t="shared" si="11"/>
        <v>1</v>
      </c>
      <c r="AQ24" s="25">
        <f t="shared" si="30"/>
        <v>1.8738722883530468</v>
      </c>
      <c r="AR24" s="25">
        <f t="shared" si="31"/>
        <v>5.1200043597243736</v>
      </c>
      <c r="AS24" s="25">
        <f t="shared" si="32"/>
        <v>23.659908528382605</v>
      </c>
      <c r="AT24" s="5">
        <f t="shared" si="33"/>
        <v>10.329954264191302</v>
      </c>
      <c r="AU24" s="24">
        <f t="shared" si="34"/>
        <v>1.2558840158650407E-3</v>
      </c>
      <c r="AV24" s="25">
        <f t="shared" si="12"/>
        <v>4.0103865056800032</v>
      </c>
      <c r="AW24" s="25">
        <f t="shared" si="35"/>
        <v>3.1788768290369682</v>
      </c>
      <c r="AX24" s="5"/>
      <c r="AY24" s="24">
        <f t="shared" si="36"/>
        <v>0.37338796203000002</v>
      </c>
    </row>
    <row r="25" spans="2:51" ht="16.2" thickBot="1" x14ac:dyDescent="0.35">
      <c r="C25" s="68" t="s">
        <v>149</v>
      </c>
      <c r="D25" s="69"/>
      <c r="E25" s="1">
        <v>0.25</v>
      </c>
      <c r="F25" s="1">
        <v>0.5</v>
      </c>
      <c r="G25" s="5">
        <f t="shared" si="37"/>
        <v>5</v>
      </c>
      <c r="H25" s="5">
        <f t="shared" si="37"/>
        <v>1</v>
      </c>
      <c r="I25" s="59">
        <v>0</v>
      </c>
      <c r="J25" s="68" t="s">
        <v>149</v>
      </c>
      <c r="K25" s="62">
        <f t="shared" si="13"/>
        <v>30.005499999999991</v>
      </c>
      <c r="L25" s="63">
        <f t="shared" si="14"/>
        <v>41.658623268749992</v>
      </c>
      <c r="M25" s="63">
        <f t="shared" si="15"/>
        <v>51.075023268749995</v>
      </c>
      <c r="N25" s="63">
        <f t="shared" si="0"/>
        <v>11.653123268750001</v>
      </c>
      <c r="O25" s="75">
        <f t="shared" si="16"/>
        <v>1.9743695050180423</v>
      </c>
      <c r="P25" s="75">
        <f t="shared" si="1"/>
        <v>406.74220127555679</v>
      </c>
      <c r="Q25" s="64">
        <f t="shared" si="17"/>
        <v>1.2965118833781251</v>
      </c>
      <c r="R25" s="63">
        <f t="shared" si="2"/>
        <v>41.658623268749992</v>
      </c>
      <c r="S25" s="70">
        <f t="shared" si="3"/>
        <v>0</v>
      </c>
      <c r="T25" s="5">
        <f t="shared" si="18"/>
        <v>-0.20378720783433824</v>
      </c>
      <c r="V25" s="5">
        <v>0.50335894668750014</v>
      </c>
      <c r="W25" s="5">
        <f t="shared" si="4"/>
        <v>0.51075023268749997</v>
      </c>
      <c r="X25" s="106">
        <v>1.4419380750812543</v>
      </c>
      <c r="Y25" s="109">
        <f t="shared" si="19"/>
        <v>1.9743695050180423</v>
      </c>
      <c r="Z25" s="24">
        <f t="shared" si="5"/>
        <v>0.28074999999999994</v>
      </c>
      <c r="AA25" s="24">
        <f t="shared" si="20"/>
        <v>0.30005499999999991</v>
      </c>
      <c r="AB25" s="5">
        <f t="shared" si="6"/>
        <v>0.38524999999999998</v>
      </c>
      <c r="AC25" s="5">
        <f t="shared" si="21"/>
        <v>0.41658623268749995</v>
      </c>
      <c r="AD25" s="5">
        <f t="shared" si="7"/>
        <v>0.11150000000000002</v>
      </c>
      <c r="AE25" s="5">
        <f t="shared" si="22"/>
        <v>7.5414000000000023E-2</v>
      </c>
      <c r="AF25" s="5">
        <f t="shared" si="23"/>
        <v>0.49200023268749998</v>
      </c>
      <c r="AG25" s="5">
        <f t="shared" si="8"/>
        <v>1.8749999999999996E-2</v>
      </c>
      <c r="AH25" s="5">
        <f t="shared" si="24"/>
        <v>0.51075023268749997</v>
      </c>
      <c r="AI25" s="5">
        <f t="shared" si="25"/>
        <v>1.2965118833781251</v>
      </c>
      <c r="AJ25" s="24">
        <f t="shared" si="9"/>
        <v>1.2965118833781251</v>
      </c>
      <c r="AK25" s="24">
        <f t="shared" si="26"/>
        <v>0.51075023268749997</v>
      </c>
      <c r="AL25" s="24">
        <f t="shared" si="27"/>
        <v>0</v>
      </c>
      <c r="AM25" s="24">
        <f t="shared" si="10"/>
        <v>0.41658623268749995</v>
      </c>
      <c r="AN25" s="24">
        <f t="shared" si="28"/>
        <v>9.4164000000000025E-2</v>
      </c>
      <c r="AO25" s="24">
        <f t="shared" si="29"/>
        <v>8.5971280850467388E-2</v>
      </c>
      <c r="AP25" s="24">
        <f t="shared" si="11"/>
        <v>1</v>
      </c>
      <c r="AQ25" s="25">
        <f t="shared" si="30"/>
        <v>1.9743695050180423</v>
      </c>
      <c r="AR25" s="25">
        <f t="shared" si="31"/>
        <v>5.0896022992363488</v>
      </c>
      <c r="AS25" s="25">
        <f t="shared" si="32"/>
        <v>26.26358267801854</v>
      </c>
      <c r="AT25" s="5">
        <f t="shared" si="33"/>
        <v>11.631791339009268</v>
      </c>
      <c r="AU25" s="24">
        <f t="shared" si="34"/>
        <v>1.2445170312356728E-3</v>
      </c>
      <c r="AV25" s="25">
        <f t="shared" si="12"/>
        <v>3.8784136690000039</v>
      </c>
      <c r="AW25" s="25">
        <f t="shared" si="35"/>
        <v>3.040994776160725</v>
      </c>
      <c r="AX25" s="5"/>
      <c r="AY25" s="24">
        <f t="shared" si="36"/>
        <v>0.41658623268749989</v>
      </c>
    </row>
    <row r="26" spans="2:51" ht="17.399999999999999" x14ac:dyDescent="0.3">
      <c r="B26" s="51"/>
      <c r="F26" s="5"/>
      <c r="G26" s="5"/>
      <c r="H26" s="5"/>
      <c r="I26" s="22"/>
      <c r="J26" s="52"/>
      <c r="K26" s="22"/>
      <c r="L26" s="22"/>
      <c r="M26" s="22"/>
      <c r="N26" s="22"/>
      <c r="O26" s="25"/>
      <c r="P26" s="25"/>
      <c r="Q26" s="5"/>
      <c r="R26" s="22"/>
      <c r="S26" s="5"/>
      <c r="T26" s="5"/>
      <c r="U26" s="5"/>
      <c r="V26" s="5"/>
      <c r="W26" s="5"/>
      <c r="X26" s="5"/>
      <c r="AE26" s="10" t="s">
        <v>161</v>
      </c>
      <c r="AF26" s="24"/>
      <c r="AG26" s="24"/>
      <c r="AI26" s="10" t="s">
        <v>162</v>
      </c>
      <c r="AK26" s="5"/>
      <c r="AL26" s="24"/>
      <c r="AM26" s="24"/>
      <c r="AN26" s="24"/>
      <c r="AO26" s="24"/>
      <c r="AP26" s="24"/>
      <c r="AQ26" s="25"/>
      <c r="AR26" s="25"/>
      <c r="AS26" s="25"/>
      <c r="AT26" s="5"/>
      <c r="AU26" s="24"/>
      <c r="AV26" s="25">
        <f>AVERAGE(AV14:AV25)</f>
        <v>2.632827055003113</v>
      </c>
      <c r="AW26" s="25">
        <f>AVERAGE(AW14:AW25)</f>
        <v>1.8186723256956754</v>
      </c>
      <c r="AY26" s="5"/>
    </row>
    <row r="27" spans="2:51" ht="17.399999999999999" x14ac:dyDescent="0.3">
      <c r="F27" s="5"/>
      <c r="G27" s="5"/>
      <c r="H27" s="5"/>
      <c r="I27" s="22"/>
      <c r="J27" s="52"/>
      <c r="K27" s="22"/>
      <c r="L27" s="22"/>
      <c r="M27" s="5"/>
      <c r="N27" s="22"/>
      <c r="O27" s="25"/>
      <c r="P27" s="25"/>
      <c r="Q27" s="5"/>
      <c r="R27" s="5"/>
      <c r="S27" s="5"/>
      <c r="T27" s="5"/>
      <c r="U27" s="5"/>
      <c r="V27" s="5"/>
      <c r="W27" s="5"/>
      <c r="X27" s="5"/>
      <c r="AC27" s="1" t="s">
        <v>189</v>
      </c>
      <c r="AE27" s="5" t="s">
        <v>106</v>
      </c>
      <c r="AF27" s="24" t="s">
        <v>183</v>
      </c>
      <c r="AG27" s="24" t="s">
        <v>182</v>
      </c>
      <c r="AI27" s="5" t="s">
        <v>106</v>
      </c>
      <c r="AJ27" s="5" t="s">
        <v>183</v>
      </c>
      <c r="AK27" s="5" t="s">
        <v>182</v>
      </c>
      <c r="AL27" s="24"/>
      <c r="AM27" s="24"/>
      <c r="AN27" s="24"/>
      <c r="AO27" s="24"/>
      <c r="AP27" s="24"/>
      <c r="AQ27" s="25"/>
      <c r="AR27" s="25"/>
      <c r="AS27" s="25"/>
      <c r="AT27" s="5"/>
      <c r="AU27" s="24"/>
      <c r="AV27" s="25"/>
      <c r="AW27" s="25"/>
      <c r="AY27" s="5"/>
    </row>
    <row r="28" spans="2:51" x14ac:dyDescent="0.25">
      <c r="F28" s="5"/>
      <c r="G28" s="5"/>
      <c r="H28" s="5"/>
      <c r="I28" s="22"/>
      <c r="J28" s="22"/>
      <c r="K28" s="22"/>
      <c r="L28" s="22"/>
      <c r="M28" s="22"/>
      <c r="N28" s="22"/>
      <c r="O28" s="25"/>
      <c r="P28" s="25"/>
      <c r="Q28" s="5"/>
      <c r="R28" s="5"/>
      <c r="S28" s="5"/>
      <c r="T28" s="5"/>
      <c r="U28" s="5"/>
      <c r="V28" s="5"/>
      <c r="W28" s="5"/>
      <c r="X28" s="5"/>
      <c r="AC28" s="99" t="s">
        <v>194</v>
      </c>
      <c r="AE28" s="1">
        <v>-1.5</v>
      </c>
      <c r="AF28" s="1">
        <v>0.95220000000000005</v>
      </c>
      <c r="AG28" s="1">
        <v>-3.8471000000000002</v>
      </c>
      <c r="AH28" s="1">
        <f>AG28*0.1/3600</f>
        <v>-1.0686388888888891E-4</v>
      </c>
      <c r="AI28" s="5">
        <v>-1.5</v>
      </c>
      <c r="AJ28" s="99">
        <v>0.84570000000000001</v>
      </c>
      <c r="AK28" s="99">
        <v>4.3700000000000003E-2</v>
      </c>
      <c r="AL28" s="24"/>
      <c r="AM28" s="24"/>
      <c r="AN28" s="24"/>
      <c r="AO28" s="24"/>
      <c r="AP28" s="24"/>
      <c r="AQ28" s="25"/>
      <c r="AR28" s="25"/>
      <c r="AS28" s="25"/>
      <c r="AT28" s="5"/>
      <c r="AU28" s="24"/>
      <c r="AV28" s="25"/>
      <c r="AW28" s="25"/>
      <c r="AY28" s="5"/>
    </row>
    <row r="29" spans="2:51" x14ac:dyDescent="0.25">
      <c r="F29" s="5"/>
      <c r="G29" s="5"/>
      <c r="H29" s="5"/>
      <c r="I29" s="22"/>
      <c r="J29" s="22"/>
      <c r="K29" s="22"/>
      <c r="L29" s="22"/>
      <c r="M29" s="22"/>
      <c r="N29" s="22"/>
      <c r="O29" s="25"/>
      <c r="P29" s="25"/>
      <c r="Q29" s="23"/>
      <c r="R29" s="5"/>
      <c r="S29" s="5"/>
      <c r="T29" s="5"/>
      <c r="U29" s="5"/>
      <c r="V29" s="5"/>
      <c r="W29" s="5"/>
      <c r="X29" s="5"/>
      <c r="AC29" s="99" t="s">
        <v>190</v>
      </c>
      <c r="AE29" s="5">
        <v>-1</v>
      </c>
      <c r="AF29" s="1">
        <v>0.96630000000000005</v>
      </c>
      <c r="AG29" s="1">
        <v>-2.6705999999999999</v>
      </c>
      <c r="AH29" s="1">
        <f t="shared" ref="AH29:AH34" si="38">AG29*0.1/3600</f>
        <v>-7.4183333333333339E-5</v>
      </c>
      <c r="AI29" s="5">
        <v>-1</v>
      </c>
      <c r="AJ29" s="99">
        <v>0.89759999999999995</v>
      </c>
      <c r="AK29" s="99">
        <v>2.8799999999999999E-2</v>
      </c>
      <c r="AL29" s="24"/>
      <c r="AM29" s="24"/>
      <c r="AN29" s="24"/>
      <c r="AO29" s="24"/>
      <c r="AP29" s="24"/>
      <c r="AQ29" s="25"/>
      <c r="AR29" s="25"/>
      <c r="AS29" s="25"/>
      <c r="AT29" s="5"/>
      <c r="AU29" s="24"/>
      <c r="AV29" s="25"/>
      <c r="AW29" s="25"/>
      <c r="AY29" s="5"/>
    </row>
    <row r="30" spans="2:51" x14ac:dyDescent="0.25">
      <c r="F30" s="5"/>
      <c r="G30" s="5"/>
      <c r="H30" s="5"/>
      <c r="I30" s="22"/>
      <c r="J30" s="22"/>
      <c r="K30" s="22"/>
      <c r="L30" s="22"/>
      <c r="M30" s="22"/>
      <c r="N30" s="22"/>
      <c r="O30" s="25"/>
      <c r="P30" s="25"/>
      <c r="Q30" s="5"/>
      <c r="R30" s="5"/>
      <c r="S30" s="5"/>
      <c r="T30" s="5"/>
      <c r="U30" s="5"/>
      <c r="V30" s="5"/>
      <c r="W30" s="5"/>
      <c r="X30" s="5"/>
      <c r="AC30" s="99" t="s">
        <v>191</v>
      </c>
      <c r="AE30" s="5">
        <v>-0.5</v>
      </c>
      <c r="AF30" s="1">
        <v>0.98240000000000005</v>
      </c>
      <c r="AG30" s="1">
        <v>-1.3931</v>
      </c>
      <c r="AH30" s="1">
        <f t="shared" si="38"/>
        <v>-3.8697222222222224E-5</v>
      </c>
      <c r="AI30" s="5">
        <v>-0.5</v>
      </c>
      <c r="AJ30" s="99">
        <v>0.94910000000000005</v>
      </c>
      <c r="AK30" s="99">
        <v>1.43E-2</v>
      </c>
      <c r="AL30" s="24"/>
      <c r="AM30" s="24"/>
      <c r="AN30" s="24"/>
      <c r="AO30" s="24"/>
      <c r="AP30" s="24"/>
      <c r="AQ30" s="25"/>
      <c r="AR30" s="25"/>
      <c r="AS30" s="25"/>
      <c r="AT30" s="5"/>
      <c r="AU30" s="24"/>
      <c r="AV30" s="25"/>
      <c r="AW30" s="25"/>
      <c r="AY30" s="25"/>
    </row>
    <row r="31" spans="2:51" x14ac:dyDescent="0.25">
      <c r="L31" s="22"/>
      <c r="M31" s="22"/>
      <c r="N31" s="22"/>
      <c r="O31" s="25"/>
      <c r="P31" s="96"/>
      <c r="Q31" s="5"/>
      <c r="R31" s="5"/>
      <c r="S31" s="5"/>
      <c r="T31" s="5"/>
      <c r="U31" s="5"/>
      <c r="V31" s="5"/>
      <c r="W31" s="5"/>
      <c r="X31" s="5"/>
      <c r="AE31" s="1">
        <v>0</v>
      </c>
      <c r="AF31" s="1">
        <v>1</v>
      </c>
      <c r="AG31" s="1">
        <v>0</v>
      </c>
      <c r="AH31" s="1">
        <f t="shared" si="38"/>
        <v>0</v>
      </c>
      <c r="AI31" s="1">
        <v>0</v>
      </c>
      <c r="AJ31" s="23">
        <v>1</v>
      </c>
      <c r="AK31" s="23">
        <v>0</v>
      </c>
      <c r="AL31" s="24"/>
      <c r="AM31" s="24"/>
      <c r="AN31" s="24"/>
      <c r="AO31" s="24"/>
      <c r="AP31" s="24"/>
      <c r="AQ31" s="25"/>
      <c r="AR31" s="25"/>
      <c r="AS31" s="25"/>
      <c r="AT31" s="5"/>
      <c r="AU31" s="24"/>
      <c r="AV31" s="25"/>
      <c r="AW31" s="25"/>
      <c r="AY31" s="5"/>
    </row>
    <row r="32" spans="2:51" x14ac:dyDescent="0.25">
      <c r="C32" s="24"/>
      <c r="D32" s="5"/>
      <c r="G32" s="5"/>
      <c r="H32" s="5"/>
      <c r="I32" s="5"/>
      <c r="J32" s="5"/>
      <c r="K32" s="25"/>
      <c r="L32" s="5"/>
      <c r="M32" s="5"/>
      <c r="N32" s="30"/>
      <c r="O32" s="5"/>
      <c r="P32" s="24"/>
      <c r="Q32" s="5"/>
      <c r="R32" s="5"/>
      <c r="S32" s="5"/>
      <c r="T32" s="5"/>
      <c r="U32" s="5"/>
      <c r="V32" s="5"/>
      <c r="W32" s="5"/>
      <c r="X32" s="5"/>
      <c r="AC32" s="99" t="s">
        <v>192</v>
      </c>
      <c r="AE32" s="5">
        <v>0.5</v>
      </c>
      <c r="AF32" s="1">
        <v>1.0188999999999999</v>
      </c>
      <c r="AG32" s="1">
        <v>1.5207999999999999</v>
      </c>
      <c r="AH32" s="1">
        <f t="shared" si="38"/>
        <v>4.2244444444444441E-5</v>
      </c>
      <c r="AI32" s="5">
        <v>0.5</v>
      </c>
      <c r="AJ32" s="99">
        <v>1.0504</v>
      </c>
      <c r="AK32" s="99">
        <v>-1.4E-2</v>
      </c>
      <c r="AL32" s="24"/>
      <c r="AM32" s="24"/>
      <c r="AN32" s="24"/>
      <c r="AO32" s="24"/>
      <c r="AP32" s="24"/>
      <c r="AQ32" s="25"/>
      <c r="AR32" s="25"/>
      <c r="AS32" s="25"/>
      <c r="AT32" s="5"/>
      <c r="AU32" s="24"/>
      <c r="AV32" s="25"/>
      <c r="AW32" s="25"/>
      <c r="AY32" s="5"/>
    </row>
    <row r="33" spans="1:51" x14ac:dyDescent="0.25">
      <c r="C33" s="24"/>
      <c r="D33" s="5"/>
      <c r="G33" s="5"/>
      <c r="H33" s="5"/>
      <c r="I33" s="5"/>
      <c r="J33" s="5"/>
      <c r="K33" s="25"/>
      <c r="L33" s="5"/>
      <c r="M33" s="5"/>
      <c r="N33" s="30"/>
      <c r="O33" s="5"/>
      <c r="P33" s="24"/>
      <c r="Q33" s="5"/>
      <c r="R33" s="5"/>
      <c r="S33" s="5"/>
      <c r="T33" s="5"/>
      <c r="U33" s="5"/>
      <c r="V33" s="5"/>
      <c r="W33" s="5"/>
      <c r="X33" s="5"/>
      <c r="AC33" s="1" t="s">
        <v>193</v>
      </c>
      <c r="AE33" s="5">
        <v>1</v>
      </c>
      <c r="AF33" s="1">
        <v>1.0387</v>
      </c>
      <c r="AG33" s="1">
        <v>3.1798000000000002</v>
      </c>
      <c r="AH33" s="1">
        <f t="shared" si="38"/>
        <v>8.8327777777777794E-5</v>
      </c>
      <c r="AI33" s="5">
        <v>1</v>
      </c>
      <c r="AJ33" s="99">
        <v>1.1004</v>
      </c>
      <c r="AK33" s="99">
        <v>-2.76E-2</v>
      </c>
      <c r="AL33" s="24"/>
      <c r="AM33" s="24"/>
      <c r="AN33" s="24"/>
      <c r="AO33" s="24"/>
      <c r="AP33" s="24"/>
      <c r="AQ33" s="25"/>
      <c r="AR33" s="25"/>
      <c r="AS33" s="25"/>
      <c r="AT33" s="5"/>
      <c r="AU33" s="24"/>
      <c r="AV33" s="25"/>
      <c r="AW33" s="25"/>
      <c r="AY33" s="5"/>
    </row>
    <row r="34" spans="1:51" x14ac:dyDescent="0.25">
      <c r="C34" s="24"/>
      <c r="D34" s="5"/>
      <c r="G34" s="5"/>
      <c r="H34" s="5"/>
      <c r="I34" s="5"/>
      <c r="J34" s="5"/>
      <c r="K34" s="25"/>
      <c r="L34" s="5"/>
      <c r="M34" s="5"/>
      <c r="N34" s="30"/>
      <c r="O34" s="5"/>
      <c r="P34" s="24"/>
      <c r="Q34" s="5"/>
      <c r="R34" s="5"/>
      <c r="S34" s="5"/>
      <c r="T34" s="5"/>
      <c r="U34" s="5"/>
      <c r="V34" s="5"/>
      <c r="W34" s="5"/>
      <c r="X34" s="5"/>
      <c r="AC34" s="99" t="s">
        <v>195</v>
      </c>
      <c r="AE34" s="1">
        <v>1.5</v>
      </c>
      <c r="AF34" s="1">
        <v>1.0593999999999999</v>
      </c>
      <c r="AG34" s="1">
        <v>4.9862000000000002</v>
      </c>
      <c r="AH34" s="1">
        <f t="shared" si="38"/>
        <v>1.3850555555555558E-4</v>
      </c>
      <c r="AI34" s="5">
        <v>1.5</v>
      </c>
      <c r="AJ34" s="99">
        <v>1.1497999999999999</v>
      </c>
      <c r="AK34" s="99">
        <v>-4.1000000000000002E-2</v>
      </c>
      <c r="AL34" s="24"/>
      <c r="AM34" s="24"/>
      <c r="AN34" s="24"/>
      <c r="AO34" s="24"/>
      <c r="AP34" s="24"/>
      <c r="AQ34" s="25"/>
      <c r="AR34" s="25"/>
      <c r="AS34" s="25"/>
      <c r="AT34" s="5"/>
      <c r="AU34" s="24"/>
      <c r="AV34" s="25"/>
      <c r="AW34" s="25"/>
      <c r="AY34" s="5"/>
    </row>
    <row r="35" spans="1:51" x14ac:dyDescent="0.25">
      <c r="C35" s="24"/>
      <c r="D35" s="5"/>
      <c r="G35" s="5"/>
      <c r="H35" s="5"/>
      <c r="I35" s="5"/>
      <c r="J35" s="5"/>
      <c r="K35" s="25"/>
      <c r="L35" s="5"/>
      <c r="M35" s="5"/>
      <c r="N35" s="30"/>
      <c r="O35" s="5"/>
      <c r="P35" s="24"/>
      <c r="Q35" s="5"/>
      <c r="R35" s="5"/>
      <c r="S35" s="5"/>
      <c r="T35" s="5"/>
      <c r="U35" s="5"/>
      <c r="V35" s="5"/>
      <c r="W35" s="5"/>
      <c r="X35" s="5"/>
      <c r="AE35" s="5" t="s">
        <v>187</v>
      </c>
      <c r="AF35" s="24"/>
      <c r="AG35" s="108"/>
      <c r="AI35" s="5" t="s">
        <v>187</v>
      </c>
      <c r="AJ35" s="23" t="s">
        <v>183</v>
      </c>
      <c r="AK35" s="23" t="s">
        <v>182</v>
      </c>
      <c r="AL35" s="24"/>
      <c r="AM35" s="24"/>
      <c r="AN35" s="24"/>
      <c r="AO35" s="24"/>
      <c r="AP35" s="24"/>
      <c r="AQ35" s="25"/>
      <c r="AR35" s="25"/>
      <c r="AS35" s="25"/>
      <c r="AT35" s="5"/>
      <c r="AU35" s="24"/>
      <c r="AV35" s="25"/>
      <c r="AW35" s="25"/>
      <c r="AY35" s="5"/>
    </row>
    <row r="36" spans="1:51" x14ac:dyDescent="0.25">
      <c r="C36" s="24"/>
      <c r="D36" s="5"/>
      <c r="G36" s="5"/>
      <c r="H36" s="5"/>
      <c r="I36" s="5"/>
      <c r="J36" s="5"/>
      <c r="K36" s="25"/>
      <c r="L36" s="5"/>
      <c r="M36" s="5"/>
      <c r="N36" s="30"/>
      <c r="O36" s="5"/>
      <c r="P36" s="24"/>
      <c r="Q36" s="5"/>
      <c r="R36" s="5"/>
      <c r="S36" s="5"/>
      <c r="T36" s="5"/>
      <c r="U36" s="5"/>
      <c r="V36" s="5"/>
      <c r="W36" s="5"/>
      <c r="X36" s="5"/>
      <c r="AC36" s="99" t="s">
        <v>196</v>
      </c>
      <c r="AE36" s="1">
        <v>0.9</v>
      </c>
      <c r="AF36" s="23">
        <v>1.3594999999999999</v>
      </c>
      <c r="AG36" s="1">
        <f>AH36*36000</f>
        <v>5.4002999999999997</v>
      </c>
      <c r="AH36" s="108">
        <v>1.5000833333333332E-4</v>
      </c>
      <c r="AI36" s="5">
        <v>0.9</v>
      </c>
      <c r="AJ36" s="23">
        <v>0.9</v>
      </c>
      <c r="AK36" s="23">
        <v>0.1</v>
      </c>
      <c r="AL36" s="24"/>
      <c r="AM36" s="24"/>
      <c r="AN36" s="24"/>
      <c r="AO36" s="24"/>
      <c r="AP36" s="24"/>
      <c r="AQ36" s="25"/>
      <c r="AR36" s="25"/>
      <c r="AS36" s="25"/>
      <c r="AT36" s="5"/>
      <c r="AU36" s="24"/>
      <c r="AV36" s="25"/>
      <c r="AW36" s="25"/>
      <c r="AY36" s="5"/>
    </row>
    <row r="37" spans="1:51" x14ac:dyDescent="0.25">
      <c r="C37" s="24"/>
      <c r="D37" s="5"/>
      <c r="G37" s="5"/>
      <c r="H37" s="5"/>
      <c r="I37" s="5"/>
      <c r="J37" s="5"/>
      <c r="K37" s="25"/>
      <c r="L37" s="5"/>
      <c r="M37" s="5"/>
      <c r="N37" s="30"/>
      <c r="O37" s="5"/>
      <c r="P37" s="24"/>
      <c r="Q37" s="5"/>
      <c r="R37" s="5"/>
      <c r="S37" s="5"/>
      <c r="T37" s="5"/>
      <c r="U37" s="5"/>
      <c r="V37" s="5"/>
      <c r="W37" s="5"/>
      <c r="X37" s="5"/>
      <c r="AC37" s="99" t="s">
        <v>197</v>
      </c>
      <c r="AE37" s="5">
        <v>0.95</v>
      </c>
      <c r="AF37" s="23">
        <v>1.1718</v>
      </c>
      <c r="AG37" s="1">
        <f t="shared" ref="AG37:AG40" si="39">AH37*36000</f>
        <v>2.3147000000000002</v>
      </c>
      <c r="AH37" s="108">
        <v>6.429722222222223E-5</v>
      </c>
      <c r="AI37" s="5">
        <v>0.95</v>
      </c>
      <c r="AJ37" s="23">
        <v>0.95</v>
      </c>
      <c r="AK37" s="23">
        <v>0.05</v>
      </c>
      <c r="AL37" s="24"/>
      <c r="AM37" s="24"/>
      <c r="AN37" s="24"/>
      <c r="AO37" s="24"/>
      <c r="AP37" s="24"/>
      <c r="AQ37" s="25"/>
      <c r="AR37" s="25"/>
      <c r="AS37" s="25"/>
      <c r="AT37" s="5"/>
      <c r="AU37" s="24"/>
      <c r="AV37" s="25"/>
      <c r="AW37" s="25"/>
      <c r="AY37" s="5"/>
    </row>
    <row r="38" spans="1:51" x14ac:dyDescent="0.25">
      <c r="C38" s="24"/>
      <c r="D38" s="5"/>
      <c r="G38" s="5"/>
      <c r="H38" s="5"/>
      <c r="I38" s="5"/>
      <c r="J38" s="5"/>
      <c r="K38" s="25"/>
      <c r="L38" s="5"/>
      <c r="M38" s="5"/>
      <c r="N38" s="30"/>
      <c r="O38" s="5"/>
      <c r="P38" s="24"/>
      <c r="Q38" s="5"/>
      <c r="R38" s="5"/>
      <c r="S38" s="5"/>
      <c r="T38" s="5"/>
      <c r="U38" s="5"/>
      <c r="V38" s="5"/>
      <c r="W38" s="5"/>
      <c r="X38" s="5"/>
      <c r="AE38" s="5">
        <v>1</v>
      </c>
      <c r="AF38" s="23">
        <v>1</v>
      </c>
      <c r="AG38" s="1">
        <f t="shared" si="39"/>
        <v>0</v>
      </c>
      <c r="AH38" s="108">
        <v>0</v>
      </c>
      <c r="AI38" s="5">
        <v>1</v>
      </c>
      <c r="AJ38" s="23">
        <v>1</v>
      </c>
      <c r="AK38" s="23">
        <v>0</v>
      </c>
      <c r="AL38" s="24"/>
      <c r="AM38" s="24"/>
      <c r="AN38" s="24"/>
      <c r="AO38" s="24"/>
      <c r="AP38" s="24"/>
      <c r="AQ38" s="25"/>
      <c r="AR38" s="25"/>
      <c r="AS38" s="25"/>
      <c r="AT38" s="5"/>
      <c r="AU38" s="24"/>
      <c r="AV38" s="25"/>
      <c r="AW38" s="25"/>
      <c r="AY38" s="5"/>
    </row>
    <row r="39" spans="1:51" x14ac:dyDescent="0.25">
      <c r="A39" s="22"/>
      <c r="C39" s="24"/>
      <c r="D39" s="5"/>
      <c r="G39" s="5"/>
      <c r="H39" s="5"/>
      <c r="I39" s="5"/>
      <c r="J39" s="5"/>
      <c r="K39" s="25"/>
      <c r="L39" s="5"/>
      <c r="M39" s="5"/>
      <c r="N39" s="30"/>
      <c r="O39" s="5"/>
      <c r="P39" s="24"/>
      <c r="Q39" s="5"/>
      <c r="R39" s="5"/>
      <c r="S39" s="5"/>
      <c r="T39" s="5"/>
      <c r="U39" s="5"/>
      <c r="V39" s="5"/>
      <c r="W39" s="5"/>
      <c r="X39" s="5"/>
      <c r="Y39" s="5"/>
      <c r="Z39" s="24"/>
      <c r="AA39" s="24"/>
      <c r="AB39" s="5"/>
      <c r="AC39" s="99" t="s">
        <v>198</v>
      </c>
      <c r="AD39" s="23"/>
      <c r="AE39" s="5">
        <v>1.05</v>
      </c>
      <c r="AF39" s="23">
        <v>0.84399999999999997</v>
      </c>
      <c r="AG39" s="1">
        <f t="shared" si="39"/>
        <v>-1.6371000000000002</v>
      </c>
      <c r="AH39" s="108">
        <v>-4.5475000000000008E-5</v>
      </c>
      <c r="AI39" s="5">
        <v>1.05</v>
      </c>
      <c r="AJ39" s="5">
        <v>1.05</v>
      </c>
      <c r="AK39" s="24">
        <v>-0.05</v>
      </c>
      <c r="AL39" s="24"/>
      <c r="AM39" s="24"/>
      <c r="AN39" s="24"/>
      <c r="AO39" s="24"/>
      <c r="AP39" s="24"/>
      <c r="AQ39" s="25"/>
      <c r="AR39" s="25"/>
      <c r="AS39" s="25"/>
      <c r="AT39" s="5"/>
      <c r="AU39" s="24"/>
      <c r="AV39" s="25"/>
      <c r="AW39" s="25"/>
      <c r="AY39" s="5"/>
    </row>
    <row r="40" spans="1:51" x14ac:dyDescent="0.25">
      <c r="A40" s="22"/>
      <c r="C40" s="24"/>
      <c r="D40" s="5"/>
      <c r="G40" s="5"/>
      <c r="H40" s="5"/>
      <c r="I40" s="5"/>
      <c r="J40" s="5"/>
      <c r="K40" s="25"/>
      <c r="L40" s="5"/>
      <c r="M40" s="5"/>
      <c r="N40" s="30"/>
      <c r="O40" s="5"/>
      <c r="P40" s="24"/>
      <c r="Q40" s="5"/>
      <c r="R40" s="5"/>
      <c r="S40" s="5"/>
      <c r="T40" s="5"/>
      <c r="U40" s="5"/>
      <c r="V40" s="5"/>
      <c r="W40" s="5"/>
      <c r="X40" s="5"/>
      <c r="Y40" s="5"/>
      <c r="Z40" s="24"/>
      <c r="AA40" s="24"/>
      <c r="AB40" s="5"/>
      <c r="AC40" s="99" t="s">
        <v>199</v>
      </c>
      <c r="AD40" s="5"/>
      <c r="AE40" s="5">
        <v>1.1000000000000001</v>
      </c>
      <c r="AF40" s="23">
        <v>0.70340000000000003</v>
      </c>
      <c r="AG40" s="1">
        <f t="shared" si="39"/>
        <v>-2.6920000000000006</v>
      </c>
      <c r="AH40" s="108">
        <v>-7.477777777777779E-5</v>
      </c>
      <c r="AI40" s="5">
        <v>1.1000000000000001</v>
      </c>
      <c r="AJ40" s="5">
        <v>1.1000000000000001</v>
      </c>
      <c r="AK40" s="24">
        <v>-0.1</v>
      </c>
      <c r="AL40" s="24"/>
      <c r="AM40" s="24"/>
      <c r="AN40" s="24"/>
      <c r="AO40" s="24"/>
      <c r="AP40" s="24"/>
      <c r="AQ40" s="25"/>
      <c r="AR40" s="25"/>
      <c r="AS40" s="25"/>
      <c r="AT40" s="5"/>
      <c r="AU40" s="24"/>
      <c r="AV40" s="25"/>
      <c r="AW40" s="25"/>
      <c r="AY40" s="5"/>
    </row>
    <row r="41" spans="1:51" x14ac:dyDescent="0.25">
      <c r="A41" s="22"/>
      <c r="C41" s="24"/>
      <c r="D41" s="5"/>
      <c r="G41" s="5"/>
      <c r="H41" s="5"/>
      <c r="I41" s="5"/>
      <c r="J41" s="5"/>
      <c r="K41" s="25"/>
      <c r="L41" s="5"/>
      <c r="M41" s="5"/>
      <c r="N41" s="30"/>
      <c r="O41" s="5"/>
      <c r="P41" s="24"/>
      <c r="Q41" s="5"/>
      <c r="R41" s="5"/>
      <c r="S41" s="5"/>
      <c r="T41" s="5"/>
      <c r="U41" s="5"/>
      <c r="V41" s="5"/>
      <c r="W41" s="5"/>
      <c r="X41" s="5"/>
      <c r="Y41" s="5"/>
      <c r="Z41" s="24"/>
      <c r="AA41" s="24"/>
      <c r="AB41" s="5"/>
      <c r="AC41" s="99"/>
      <c r="AD41" s="5"/>
      <c r="AE41" s="5"/>
      <c r="AF41" s="5"/>
      <c r="AG41" s="5"/>
      <c r="AI41" s="5"/>
      <c r="AJ41" s="24"/>
      <c r="AK41" s="24"/>
      <c r="AL41" s="24"/>
      <c r="AM41" s="24"/>
      <c r="AN41" s="24"/>
      <c r="AO41" s="24"/>
      <c r="AP41" s="24"/>
      <c r="AQ41" s="25"/>
      <c r="AR41" s="25"/>
      <c r="AS41" s="25"/>
      <c r="AT41" s="5"/>
      <c r="AU41" s="24"/>
      <c r="AV41" s="25"/>
      <c r="AW41" s="25"/>
      <c r="AY41" s="5"/>
    </row>
    <row r="42" spans="1:51" x14ac:dyDescent="0.25">
      <c r="A42" s="22"/>
      <c r="C42" s="24"/>
      <c r="D42" s="5"/>
      <c r="G42" s="5"/>
      <c r="H42" s="5"/>
      <c r="I42" s="5"/>
      <c r="J42" s="5"/>
      <c r="K42" s="25"/>
      <c r="L42" s="5"/>
      <c r="M42" s="5"/>
      <c r="N42" s="30"/>
      <c r="O42" s="5"/>
      <c r="P42" s="24"/>
      <c r="Q42" s="5"/>
      <c r="R42" s="5"/>
      <c r="S42" s="5"/>
      <c r="T42" s="5"/>
      <c r="U42" s="5"/>
      <c r="V42" s="5"/>
      <c r="W42" s="5"/>
      <c r="X42" s="5"/>
      <c r="Y42" s="5"/>
      <c r="Z42" s="24"/>
      <c r="AA42" s="24"/>
      <c r="AB42" s="5"/>
      <c r="AC42" s="5"/>
      <c r="AD42" s="5"/>
      <c r="AE42" s="5" t="s">
        <v>189</v>
      </c>
      <c r="AF42" s="5" t="s">
        <v>183</v>
      </c>
      <c r="AG42" s="5" t="s">
        <v>182</v>
      </c>
      <c r="AH42" s="5"/>
      <c r="AI42" s="5"/>
      <c r="AJ42" s="24"/>
      <c r="AK42" s="24"/>
      <c r="AL42" s="24"/>
      <c r="AM42" s="24"/>
      <c r="AN42" s="24"/>
      <c r="AO42" s="24"/>
      <c r="AP42" s="24"/>
      <c r="AQ42" s="25"/>
      <c r="AR42" s="25"/>
      <c r="AS42" s="25"/>
      <c r="AT42" s="5"/>
      <c r="AU42" s="24"/>
      <c r="AV42" s="25"/>
      <c r="AW42" s="25"/>
    </row>
    <row r="43" spans="1:51" x14ac:dyDescent="0.25">
      <c r="A43" s="22"/>
      <c r="C43" s="24"/>
      <c r="D43" s="5"/>
      <c r="G43" s="5"/>
      <c r="H43" s="5"/>
      <c r="I43" s="5"/>
      <c r="J43" s="5"/>
      <c r="K43" s="25"/>
      <c r="L43" s="5"/>
      <c r="M43" s="5"/>
      <c r="N43" s="30"/>
      <c r="O43" s="5"/>
      <c r="P43" s="24"/>
      <c r="Q43" s="5"/>
      <c r="R43" s="5"/>
      <c r="S43" s="5"/>
      <c r="T43" s="5"/>
      <c r="U43" s="5"/>
      <c r="V43" s="5"/>
      <c r="W43" s="5"/>
      <c r="X43" s="5"/>
      <c r="Y43" s="5"/>
      <c r="Z43" s="24"/>
      <c r="AA43" s="24"/>
      <c r="AB43" s="5"/>
      <c r="AC43" s="5"/>
      <c r="AD43" s="5" t="s">
        <v>202</v>
      </c>
      <c r="AE43" s="5">
        <v>10</v>
      </c>
      <c r="AF43" s="1">
        <f>AE43*AF44+AG44</f>
        <v>10.071000000000003</v>
      </c>
      <c r="AG43" s="30"/>
      <c r="AH43" s="5">
        <f>AF43/AE43</f>
        <v>1.0071000000000003</v>
      </c>
      <c r="AI43" s="5"/>
      <c r="AJ43" s="24"/>
      <c r="AK43" s="24"/>
      <c r="AL43" s="24"/>
      <c r="AM43" s="24"/>
      <c r="AN43" s="24"/>
      <c r="AO43" s="24"/>
      <c r="AP43" s="24"/>
      <c r="AQ43" s="25"/>
      <c r="AR43" s="25"/>
      <c r="AS43" s="25"/>
      <c r="AT43" s="5"/>
      <c r="AU43" s="24"/>
      <c r="AV43" s="25"/>
      <c r="AW43" s="25"/>
    </row>
    <row r="44" spans="1:51" ht="15.6" x14ac:dyDescent="0.25">
      <c r="A44" s="22"/>
      <c r="C44" s="5"/>
      <c r="D44" s="5"/>
      <c r="E44" s="5"/>
      <c r="I44" s="40"/>
      <c r="J44" s="40"/>
      <c r="R44" s="5"/>
      <c r="S44" s="5"/>
      <c r="T44" s="5"/>
      <c r="U44" s="5"/>
      <c r="V44" s="5"/>
      <c r="W44" s="5"/>
      <c r="X44" s="5"/>
      <c r="Y44" s="5"/>
      <c r="Z44" s="24"/>
      <c r="AA44" s="24"/>
      <c r="AB44" s="5"/>
      <c r="AC44" s="109" t="s">
        <v>104</v>
      </c>
      <c r="AD44" s="1">
        <v>1</v>
      </c>
      <c r="AF44" s="5">
        <f>AD44*AD44*3.1429-9.5657*AD44+7.4299</f>
        <v>1.0071000000000003</v>
      </c>
      <c r="AG44" s="30">
        <f>135.4*AD44*AD44-311.07*AD44+175.67</f>
        <v>0</v>
      </c>
      <c r="AH44" s="5"/>
      <c r="AI44" s="5"/>
      <c r="AJ44" s="24"/>
      <c r="AK44" s="24"/>
      <c r="AL44" s="24"/>
      <c r="AM44" s="24"/>
      <c r="AN44" s="24"/>
      <c r="AO44" s="24"/>
      <c r="AP44" s="24"/>
      <c r="AQ44" s="25"/>
      <c r="AR44" s="25"/>
      <c r="AS44" s="25"/>
      <c r="AT44" s="5"/>
      <c r="AU44" s="24"/>
      <c r="AV44" s="25"/>
      <c r="AW44" s="25"/>
    </row>
    <row r="45" spans="1:51" ht="15.6" x14ac:dyDescent="0.3">
      <c r="A45" s="22"/>
      <c r="B45" s="103"/>
      <c r="C45" s="5"/>
      <c r="D45" s="5"/>
      <c r="E45" s="5"/>
      <c r="I45" s="40"/>
      <c r="J45" s="40"/>
      <c r="R45" s="5"/>
      <c r="S45" s="5"/>
      <c r="T45" s="5"/>
      <c r="U45" s="5"/>
      <c r="V45" s="5"/>
      <c r="W45" s="5"/>
      <c r="X45" s="5"/>
      <c r="Y45" s="5"/>
      <c r="Z45" s="24"/>
      <c r="AA45" s="24"/>
      <c r="AB45" s="5"/>
      <c r="AC45" s="5"/>
      <c r="AD45" s="5"/>
      <c r="AE45" s="1">
        <f>AE43*0.1/3600</f>
        <v>2.7777777777777778E-4</v>
      </c>
      <c r="AF45" s="1">
        <f>AE45*AF46+AG46</f>
        <v>2.797500000000001E-4</v>
      </c>
      <c r="AH45" s="5">
        <f>AF45/AE45</f>
        <v>1.0071000000000003</v>
      </c>
      <c r="AI45" s="5"/>
      <c r="AJ45" s="24"/>
      <c r="AK45" s="24"/>
      <c r="AL45" s="24"/>
      <c r="AM45" s="24"/>
      <c r="AN45" s="24"/>
      <c r="AO45" s="24"/>
      <c r="AP45" s="24"/>
      <c r="AQ45" s="25"/>
      <c r="AR45" s="25"/>
      <c r="AS45" s="25"/>
      <c r="AT45" s="5"/>
      <c r="AU45" s="24"/>
      <c r="AV45" s="25"/>
      <c r="AW45" s="25"/>
    </row>
    <row r="46" spans="1:51" ht="15.6" x14ac:dyDescent="0.25">
      <c r="A46" s="22"/>
      <c r="C46" s="5"/>
      <c r="D46" s="5"/>
      <c r="E46" s="5"/>
      <c r="I46" s="40"/>
      <c r="J46" s="40"/>
      <c r="R46" s="5"/>
      <c r="S46" s="5"/>
      <c r="T46" s="5"/>
      <c r="U46" s="5"/>
      <c r="V46" s="5"/>
      <c r="W46" s="5"/>
      <c r="X46" s="5"/>
      <c r="Y46" s="5"/>
      <c r="Z46" s="24"/>
      <c r="AA46" s="24"/>
      <c r="AB46" s="5"/>
      <c r="AC46" s="5"/>
      <c r="AD46" s="5"/>
      <c r="AF46" s="5">
        <f>AD44*AD44*3.1429-9.5657*AD44+7.4299</f>
        <v>1.0071000000000003</v>
      </c>
      <c r="AG46" s="30">
        <f>(135.4*AD44*AD44-311.07*AD44+175.67)*0.1/3600</f>
        <v>0</v>
      </c>
      <c r="AH46" s="5"/>
      <c r="AI46" s="5"/>
      <c r="AJ46" s="24"/>
      <c r="AK46" s="24"/>
      <c r="AL46" s="24"/>
      <c r="AM46" s="24"/>
      <c r="AN46" s="24"/>
      <c r="AO46" s="24"/>
      <c r="AP46" s="24"/>
      <c r="AQ46" s="25"/>
      <c r="AR46" s="25"/>
      <c r="AS46" s="25"/>
      <c r="AT46" s="5"/>
      <c r="AU46" s="24"/>
      <c r="AV46" s="25"/>
      <c r="AW46" s="25"/>
    </row>
    <row r="47" spans="1:51" ht="15.6" x14ac:dyDescent="0.25">
      <c r="A47" s="22"/>
      <c r="C47" s="5"/>
      <c r="D47" s="5"/>
      <c r="E47" s="5"/>
      <c r="I47" s="40"/>
      <c r="J47" s="40"/>
      <c r="R47" s="5"/>
      <c r="S47" s="5"/>
      <c r="T47" s="5"/>
      <c r="U47" s="5"/>
      <c r="V47" s="5"/>
      <c r="W47" s="5"/>
      <c r="X47" s="5"/>
      <c r="Y47" s="5"/>
      <c r="Z47" s="24"/>
      <c r="AA47" s="24"/>
      <c r="AB47" s="5"/>
      <c r="AC47" s="5" t="s">
        <v>106</v>
      </c>
      <c r="AD47" s="5">
        <v>0</v>
      </c>
      <c r="AE47" s="99">
        <f xml:space="preserve"> 0.0359*AD47 + 1.0026</f>
        <v>1.0025999999999999</v>
      </c>
      <c r="AF47" s="99">
        <f>2.9368*AD47+ 0.2537</f>
        <v>0.25369999999999998</v>
      </c>
      <c r="AG47" s="30"/>
      <c r="AH47" s="5"/>
      <c r="AJ47" s="24"/>
      <c r="AK47" s="24"/>
      <c r="AL47" s="24"/>
      <c r="AM47" s="24"/>
      <c r="AN47" s="24"/>
      <c r="AO47" s="24"/>
      <c r="AP47" s="24"/>
      <c r="AQ47" s="25"/>
      <c r="AR47" s="25"/>
      <c r="AS47" s="25"/>
      <c r="AT47" s="5"/>
      <c r="AU47" s="24"/>
      <c r="AV47" s="25"/>
      <c r="AW47" s="25"/>
    </row>
    <row r="48" spans="1:51" ht="15.6" x14ac:dyDescent="0.25">
      <c r="A48" s="22"/>
      <c r="C48" s="5"/>
      <c r="D48" s="5"/>
      <c r="E48" s="5"/>
      <c r="I48" s="40"/>
      <c r="J48" s="40"/>
      <c r="R48" s="5"/>
      <c r="S48" s="5"/>
      <c r="T48" s="5"/>
      <c r="U48" s="5"/>
      <c r="V48" s="5"/>
      <c r="W48" s="5"/>
      <c r="X48" s="5"/>
      <c r="Y48" s="5"/>
      <c r="Z48" s="24"/>
      <c r="AA48" s="24"/>
      <c r="AB48" s="5"/>
      <c r="AC48" s="5">
        <v>0.45</v>
      </c>
      <c r="AD48" s="5">
        <v>0.45</v>
      </c>
      <c r="AE48" s="5"/>
      <c r="AF48" s="5"/>
      <c r="AG48" s="5"/>
      <c r="AH48" s="5"/>
      <c r="AI48" s="5"/>
      <c r="AJ48" s="24"/>
      <c r="AK48" s="24"/>
      <c r="AL48" s="24"/>
      <c r="AM48" s="24"/>
      <c r="AN48" s="24"/>
      <c r="AO48" s="24"/>
      <c r="AP48" s="24"/>
      <c r="AQ48" s="25"/>
      <c r="AR48" s="25"/>
      <c r="AS48" s="25"/>
      <c r="AT48" s="5"/>
      <c r="AU48" s="24"/>
      <c r="AV48" s="25"/>
      <c r="AW48" s="25"/>
    </row>
    <row r="49" spans="1:49" ht="22.8" x14ac:dyDescent="0.25">
      <c r="A49" s="22"/>
      <c r="C49" s="97" t="s">
        <v>163</v>
      </c>
      <c r="D49" s="5"/>
      <c r="E49" s="5"/>
      <c r="I49" s="40"/>
      <c r="J49" s="40"/>
      <c r="R49" s="5"/>
      <c r="S49" s="5"/>
      <c r="T49" s="5"/>
      <c r="U49" s="5"/>
      <c r="V49" s="5"/>
      <c r="W49" s="5"/>
      <c r="X49" s="5"/>
      <c r="Y49" s="5"/>
      <c r="Z49" s="24"/>
      <c r="AA49" s="24"/>
      <c r="AB49" s="5"/>
      <c r="AC49" s="5">
        <f>AC48*0.9+(-0.9+1)</f>
        <v>0.505</v>
      </c>
      <c r="AD49" s="5">
        <f>AD48*1.1+(-1.1+1)</f>
        <v>0.39499999999999996</v>
      </c>
      <c r="AE49" s="5"/>
      <c r="AF49" s="5"/>
      <c r="AG49" s="5"/>
      <c r="AH49" s="5"/>
      <c r="AI49" s="5"/>
      <c r="AJ49" s="24"/>
      <c r="AK49" s="24"/>
      <c r="AL49" s="24"/>
      <c r="AM49" s="24"/>
      <c r="AN49" s="24"/>
      <c r="AO49" s="24"/>
      <c r="AP49" s="24"/>
      <c r="AQ49" s="25"/>
      <c r="AR49" s="25"/>
      <c r="AS49" s="25"/>
      <c r="AT49" s="5"/>
      <c r="AU49" s="24"/>
      <c r="AV49" s="25"/>
      <c r="AW49" s="25"/>
    </row>
    <row r="50" spans="1:49" x14ac:dyDescent="0.25">
      <c r="A50" s="22"/>
      <c r="B50" s="5"/>
      <c r="C50"/>
      <c r="D50" s="22"/>
      <c r="E50" s="5"/>
      <c r="F50" s="5"/>
      <c r="G50" s="5"/>
      <c r="H50" s="5"/>
      <c r="I50" s="5"/>
      <c r="R50" s="5"/>
      <c r="S50" s="25"/>
      <c r="T50" s="5"/>
      <c r="U50" s="5"/>
      <c r="V50" s="5"/>
      <c r="W50" s="5"/>
      <c r="X50" s="5"/>
      <c r="Y50" s="5"/>
      <c r="Z50" s="5"/>
      <c r="AA50" s="5"/>
      <c r="AC50" s="5"/>
      <c r="AE50" s="108"/>
      <c r="AF50" s="108"/>
      <c r="AG50" s="108"/>
      <c r="AH50" s="5"/>
      <c r="AO50" s="24"/>
      <c r="AU50" s="5"/>
    </row>
    <row r="51" spans="1:49" ht="16.2" x14ac:dyDescent="0.35">
      <c r="A51" s="22"/>
      <c r="B51" s="22"/>
      <c r="C51" s="98" t="s">
        <v>164</v>
      </c>
      <c r="D51" s="22"/>
      <c r="E51" s="5"/>
      <c r="F51" s="5"/>
      <c r="G51" s="5"/>
      <c r="H51" s="5"/>
      <c r="I51" s="5"/>
      <c r="R51" s="5"/>
      <c r="S51" s="25"/>
      <c r="T51" s="5"/>
      <c r="U51" s="5"/>
      <c r="V51" s="5"/>
      <c r="W51" s="5"/>
      <c r="X51" s="5"/>
      <c r="Y51" s="5"/>
      <c r="Z51" s="5"/>
      <c r="AA51" s="5"/>
      <c r="AC51" s="5"/>
      <c r="AE51" s="5"/>
      <c r="AU51" s="5"/>
    </row>
    <row r="52" spans="1:49" ht="17.399999999999999" x14ac:dyDescent="0.3">
      <c r="A52" s="22"/>
      <c r="B52" s="5"/>
      <c r="C52"/>
      <c r="D52" s="22"/>
      <c r="E52" s="5"/>
      <c r="F52" s="5"/>
      <c r="G52" s="5"/>
      <c r="H52" s="5"/>
      <c r="I52" s="41"/>
      <c r="J52" s="41"/>
      <c r="R52" s="5"/>
      <c r="S52" s="25"/>
      <c r="T52" s="5"/>
      <c r="U52" s="5"/>
      <c r="V52" s="5"/>
      <c r="W52" s="5"/>
      <c r="X52" s="5"/>
      <c r="Y52" s="5"/>
      <c r="Z52" s="5"/>
      <c r="AA52" s="5"/>
      <c r="AC52" s="5"/>
      <c r="AE52" s="5"/>
      <c r="AU52" s="5"/>
    </row>
    <row r="53" spans="1:49" ht="16.8" x14ac:dyDescent="0.35">
      <c r="B53" s="22"/>
      <c r="C53" s="99" t="s">
        <v>165</v>
      </c>
      <c r="D53" s="22"/>
      <c r="E53" s="5" t="s">
        <v>179</v>
      </c>
      <c r="F53" s="5"/>
      <c r="G53" s="5"/>
      <c r="H53" s="5"/>
      <c r="I53" s="5"/>
      <c r="R53" s="5"/>
      <c r="S53" s="25"/>
      <c r="T53" s="5"/>
      <c r="U53" s="5"/>
      <c r="V53" s="5"/>
      <c r="W53" s="5"/>
      <c r="X53" s="5"/>
      <c r="Y53" s="5"/>
      <c r="Z53" s="5"/>
      <c r="AA53" s="5"/>
      <c r="AC53" s="5"/>
      <c r="AE53" s="5"/>
      <c r="AU53" s="5"/>
    </row>
    <row r="54" spans="1:49" x14ac:dyDescent="0.25">
      <c r="B54" s="22"/>
      <c r="C54"/>
      <c r="D54" s="5"/>
      <c r="E54" s="5"/>
      <c r="I54" s="22"/>
      <c r="R54" s="5"/>
      <c r="S54" s="5"/>
      <c r="T54" s="5"/>
      <c r="U54" s="5"/>
      <c r="V54" s="5"/>
      <c r="W54" s="5"/>
      <c r="X54" s="5"/>
      <c r="Y54" s="5"/>
      <c r="Z54" s="5"/>
      <c r="AA54" s="5"/>
      <c r="AC54" s="5"/>
      <c r="AE54" s="5"/>
      <c r="AU54" s="5"/>
    </row>
    <row r="55" spans="1:49" ht="16.8" x14ac:dyDescent="0.35">
      <c r="B55" s="22"/>
      <c r="C55" s="99" t="s">
        <v>166</v>
      </c>
      <c r="D55" s="5"/>
      <c r="E55" s="5" t="s">
        <v>180</v>
      </c>
      <c r="I55" s="22"/>
      <c r="R55" s="5"/>
      <c r="S55" s="5"/>
      <c r="T55" s="5"/>
      <c r="U55" s="5"/>
      <c r="V55" s="5"/>
      <c r="W55" s="5"/>
      <c r="X55" s="5"/>
      <c r="Y55" s="5"/>
      <c r="Z55" s="5"/>
      <c r="AA55" s="5"/>
      <c r="AC55" s="5"/>
      <c r="AE55" s="5"/>
      <c r="AU55" s="5"/>
    </row>
    <row r="56" spans="1:49" x14ac:dyDescent="0.25">
      <c r="B56" s="22"/>
      <c r="C56"/>
      <c r="D56" s="5"/>
      <c r="E56" s="5"/>
      <c r="I56" s="22"/>
      <c r="R56" s="5"/>
      <c r="S56" s="5"/>
      <c r="T56" s="5"/>
      <c r="U56" s="5"/>
      <c r="V56" s="5"/>
      <c r="W56" s="5"/>
      <c r="X56" s="5"/>
      <c r="Y56" s="5"/>
      <c r="Z56" s="5"/>
      <c r="AA56" s="5"/>
      <c r="AC56" s="5"/>
      <c r="AE56" s="5"/>
      <c r="AU56" s="5"/>
    </row>
    <row r="57" spans="1:49" ht="16.2" x14ac:dyDescent="0.35">
      <c r="B57" s="22"/>
      <c r="C57" s="98" t="s">
        <v>167</v>
      </c>
      <c r="D57" s="5"/>
      <c r="E57" s="5"/>
      <c r="I57" s="22"/>
      <c r="R57" s="5"/>
      <c r="S57" s="5"/>
      <c r="T57" s="5"/>
      <c r="U57" s="5"/>
      <c r="V57" s="5"/>
      <c r="W57" s="5"/>
      <c r="X57" s="5"/>
      <c r="Y57" s="5"/>
      <c r="Z57" s="5"/>
      <c r="AA57" s="5"/>
      <c r="AC57" s="5"/>
      <c r="AE57" s="5"/>
      <c r="AU57" s="5"/>
    </row>
    <row r="58" spans="1:49" x14ac:dyDescent="0.25">
      <c r="B58" s="22"/>
      <c r="C58"/>
      <c r="D58" s="5"/>
      <c r="E58" s="5"/>
      <c r="I58" s="22"/>
      <c r="R58" s="5"/>
      <c r="S58" s="5"/>
      <c r="T58" s="5"/>
      <c r="U58" s="5"/>
      <c r="V58" s="5"/>
      <c r="W58" s="5"/>
      <c r="X58" s="5"/>
      <c r="Y58" s="5"/>
      <c r="Z58" s="5"/>
      <c r="AA58" s="5"/>
      <c r="AC58" s="5"/>
      <c r="AE58" s="5"/>
      <c r="AU58" s="5"/>
    </row>
    <row r="59" spans="1:49" ht="16.2" x14ac:dyDescent="0.35">
      <c r="B59" s="22"/>
      <c r="C59" s="99" t="s">
        <v>168</v>
      </c>
      <c r="D59" s="5"/>
      <c r="E59" s="5"/>
      <c r="I59" s="22"/>
      <c r="R59" s="5"/>
      <c r="S59" s="5"/>
      <c r="T59" s="5"/>
      <c r="U59" s="5"/>
      <c r="V59" s="5"/>
      <c r="W59" s="5"/>
      <c r="X59" s="5"/>
      <c r="Y59" s="5"/>
      <c r="Z59" s="5"/>
      <c r="AA59" s="5"/>
      <c r="AC59" s="5"/>
      <c r="AE59" s="5"/>
      <c r="AU59" s="5"/>
    </row>
    <row r="60" spans="1:49" x14ac:dyDescent="0.25">
      <c r="B60" s="22"/>
      <c r="C60"/>
      <c r="D60" s="5"/>
      <c r="E60" s="5"/>
      <c r="I60" s="22"/>
      <c r="R60" s="5"/>
      <c r="S60" s="5"/>
      <c r="T60" s="5"/>
      <c r="U60" s="5"/>
      <c r="V60" s="5"/>
      <c r="W60" s="5"/>
      <c r="X60" s="5"/>
      <c r="Y60" s="5"/>
      <c r="Z60" s="5"/>
      <c r="AA60" s="5"/>
      <c r="AC60" s="5"/>
      <c r="AE60" s="5"/>
      <c r="AU60" s="5"/>
    </row>
    <row r="61" spans="1:49" x14ac:dyDescent="0.25">
      <c r="A61" s="5"/>
      <c r="B61" s="22"/>
      <c r="C61" s="99" t="s">
        <v>169</v>
      </c>
      <c r="D61" s="5"/>
      <c r="E61" s="5"/>
      <c r="I61" s="22"/>
      <c r="J61" s="22"/>
      <c r="K61" s="22"/>
      <c r="L61" s="22"/>
      <c r="M61" s="22"/>
      <c r="N61" s="22"/>
      <c r="O61" s="25"/>
      <c r="P61" s="2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C61" s="5"/>
      <c r="AE61" s="5"/>
      <c r="AU61" s="5"/>
    </row>
    <row r="62" spans="1:49" x14ac:dyDescent="0.25">
      <c r="A62" s="5"/>
      <c r="B62" s="22"/>
      <c r="C62"/>
      <c r="D62" s="5"/>
      <c r="E62" s="5"/>
      <c r="I62" s="22"/>
      <c r="J62" s="22"/>
      <c r="K62" s="22"/>
      <c r="L62" s="22"/>
      <c r="M62" s="22"/>
      <c r="N62" s="22"/>
      <c r="O62" s="25"/>
      <c r="P62" s="2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C62" s="5"/>
      <c r="AE62" s="5"/>
      <c r="AU62" s="5"/>
    </row>
    <row r="63" spans="1:49" x14ac:dyDescent="0.25">
      <c r="A63" s="5"/>
      <c r="B63" s="22"/>
      <c r="C63" s="98" t="s">
        <v>170</v>
      </c>
      <c r="D63" s="5"/>
      <c r="E63" s="5"/>
      <c r="I63" s="22"/>
      <c r="J63" s="22"/>
      <c r="K63" s="22"/>
      <c r="L63" s="22"/>
      <c r="M63" s="22"/>
      <c r="N63" s="22"/>
      <c r="O63" s="25"/>
      <c r="P63" s="2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C63" s="5"/>
      <c r="AE63" s="5"/>
      <c r="AU63" s="5"/>
    </row>
    <row r="64" spans="1:49" x14ac:dyDescent="0.25">
      <c r="A64" s="5"/>
      <c r="C64"/>
      <c r="D64" s="5"/>
      <c r="E64" s="5"/>
      <c r="I64" s="22"/>
      <c r="J64" s="22"/>
      <c r="K64" s="22"/>
      <c r="L64" s="22"/>
      <c r="M64" s="22"/>
      <c r="N64" s="22"/>
      <c r="O64" s="25"/>
      <c r="P64" s="2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C64" s="5"/>
      <c r="AE64" s="5"/>
      <c r="AU64" s="5"/>
    </row>
    <row r="65" spans="1:47" ht="16.2" x14ac:dyDescent="0.35">
      <c r="A65" s="5"/>
      <c r="B65" s="22"/>
      <c r="C65" s="99" t="s">
        <v>171</v>
      </c>
      <c r="D65" s="5"/>
      <c r="E65" s="5"/>
      <c r="I65" s="22"/>
      <c r="J65" s="22"/>
      <c r="K65" s="22"/>
      <c r="L65" s="22"/>
      <c r="M65" s="22"/>
      <c r="N65" s="22"/>
      <c r="O65" s="25"/>
      <c r="P65" s="2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C65" s="5"/>
      <c r="AE65" s="5"/>
      <c r="AU65" s="5"/>
    </row>
    <row r="66" spans="1:47" x14ac:dyDescent="0.25">
      <c r="A66" s="5"/>
      <c r="C66" s="100"/>
      <c r="E66" s="5"/>
      <c r="F66" s="5"/>
      <c r="G66" s="5"/>
      <c r="H66" s="5"/>
      <c r="I66" s="5"/>
      <c r="J66" s="5"/>
      <c r="K66" s="5"/>
      <c r="L66" s="5"/>
      <c r="N66" s="5"/>
      <c r="O66" s="5"/>
      <c r="P66" s="5"/>
      <c r="Q66" s="5"/>
      <c r="R66" s="5"/>
      <c r="S66" s="25"/>
      <c r="T66" s="5"/>
      <c r="U66" s="5"/>
      <c r="V66" s="5"/>
      <c r="W66" s="5"/>
      <c r="X66" s="5"/>
      <c r="Y66" s="5"/>
      <c r="Z66" s="5"/>
      <c r="AA66" s="5"/>
      <c r="AC66" s="5"/>
      <c r="AE66" s="5"/>
      <c r="AU66" s="5"/>
    </row>
    <row r="67" spans="1:47" x14ac:dyDescent="0.25">
      <c r="A67" s="5"/>
      <c r="C67" s="101" t="s">
        <v>172</v>
      </c>
      <c r="E67" s="5"/>
      <c r="F67" s="5"/>
      <c r="G67" s="5"/>
      <c r="H67" s="5"/>
      <c r="I67" s="5"/>
      <c r="J67" s="5"/>
      <c r="K67" s="5"/>
      <c r="L67" s="5"/>
      <c r="N67" s="5"/>
      <c r="O67" s="5"/>
      <c r="P67" s="5"/>
      <c r="Q67" s="5"/>
      <c r="R67" s="5"/>
      <c r="S67" s="25"/>
      <c r="T67" s="5"/>
      <c r="U67" s="5"/>
      <c r="V67" s="5"/>
      <c r="W67" s="5"/>
      <c r="X67" s="5"/>
      <c r="Y67" s="5"/>
      <c r="Z67" s="5"/>
      <c r="AA67" s="5"/>
      <c r="AC67" s="5"/>
      <c r="AE67" s="5"/>
      <c r="AU67" s="5"/>
    </row>
    <row r="68" spans="1:47" x14ac:dyDescent="0.25">
      <c r="A68" s="5"/>
      <c r="C68" s="101" t="s">
        <v>173</v>
      </c>
      <c r="E68" s="5"/>
      <c r="F68" s="5"/>
      <c r="G68" s="5"/>
      <c r="H68" s="5"/>
      <c r="I68" s="5"/>
      <c r="J68" s="5"/>
      <c r="K68" s="5"/>
      <c r="L68" s="5"/>
      <c r="N68" s="5"/>
      <c r="O68" s="5"/>
      <c r="P68" s="5"/>
      <c r="Q68" s="5"/>
      <c r="R68" s="5"/>
      <c r="S68" s="25"/>
      <c r="T68" s="5"/>
      <c r="U68" s="5"/>
      <c r="V68" s="5"/>
      <c r="W68" s="5"/>
      <c r="X68" s="5"/>
      <c r="Y68" s="5"/>
      <c r="Z68" s="5"/>
      <c r="AA68" s="5"/>
      <c r="AC68" s="5"/>
      <c r="AE68" s="5"/>
      <c r="AU68" s="5"/>
    </row>
    <row r="69" spans="1:47" x14ac:dyDescent="0.25">
      <c r="A69" s="5"/>
      <c r="C69"/>
      <c r="E69" s="5"/>
      <c r="F69" s="5"/>
      <c r="G69" s="5"/>
      <c r="H69" s="5"/>
      <c r="I69" s="5"/>
      <c r="J69" s="5"/>
      <c r="K69" s="5"/>
      <c r="L69" s="5"/>
      <c r="N69" s="5"/>
      <c r="O69" s="5"/>
      <c r="P69" s="5"/>
      <c r="Q69" s="5"/>
      <c r="R69" s="5"/>
      <c r="S69" s="25"/>
      <c r="T69" s="5"/>
      <c r="U69" s="5"/>
      <c r="V69" s="5"/>
      <c r="W69" s="5"/>
      <c r="X69" s="5"/>
      <c r="Y69" s="5"/>
      <c r="Z69" s="5"/>
      <c r="AA69" s="5"/>
      <c r="AC69" s="5"/>
      <c r="AE69" s="5"/>
      <c r="AU69" s="5"/>
    </row>
    <row r="70" spans="1:47" x14ac:dyDescent="0.25">
      <c r="A70" s="5"/>
      <c r="C70" s="99" t="s">
        <v>174</v>
      </c>
      <c r="E70" s="5"/>
      <c r="F70" s="5"/>
      <c r="G70" s="5"/>
      <c r="H70" s="5"/>
      <c r="I70" s="5"/>
      <c r="J70" s="5"/>
      <c r="K70" s="5"/>
      <c r="L70" s="5"/>
      <c r="N70" s="5"/>
      <c r="O70" s="5"/>
      <c r="P70" s="5"/>
      <c r="Q70" s="5"/>
      <c r="R70" s="5"/>
      <c r="S70" s="25"/>
      <c r="T70" s="5"/>
      <c r="U70" s="5"/>
      <c r="V70" s="5"/>
      <c r="W70" s="5"/>
      <c r="X70" s="5"/>
      <c r="Y70" s="5"/>
      <c r="Z70" s="5"/>
      <c r="AA70" s="5"/>
      <c r="AC70" s="5"/>
      <c r="AE70" s="5"/>
      <c r="AU70" s="5"/>
    </row>
    <row r="71" spans="1:47" x14ac:dyDescent="0.25">
      <c r="C71"/>
      <c r="E71" s="5"/>
      <c r="F71" s="5"/>
      <c r="G71" s="5"/>
      <c r="H71" s="5"/>
      <c r="I71" s="5"/>
      <c r="J71" s="5"/>
      <c r="K71" s="5"/>
      <c r="L71" s="5"/>
      <c r="N71" s="5"/>
      <c r="O71" s="5"/>
      <c r="P71" s="5"/>
      <c r="Q71" s="5"/>
      <c r="R71" s="5"/>
      <c r="S71" s="25"/>
      <c r="T71" s="5"/>
      <c r="U71" s="5"/>
      <c r="V71" s="5"/>
      <c r="W71" s="5"/>
      <c r="X71" s="5"/>
      <c r="Y71" s="5"/>
      <c r="Z71" s="5"/>
      <c r="AA71" s="5"/>
      <c r="AC71" s="5"/>
      <c r="AE71" s="5"/>
      <c r="AU71" s="5"/>
    </row>
    <row r="72" spans="1:47" x14ac:dyDescent="0.25">
      <c r="C72" s="99" t="s">
        <v>175</v>
      </c>
      <c r="AU72" s="5"/>
    </row>
    <row r="73" spans="1:47" x14ac:dyDescent="0.25">
      <c r="C73"/>
      <c r="AU73" s="5"/>
    </row>
    <row r="74" spans="1:47" ht="16.2" x14ac:dyDescent="0.35">
      <c r="C74" s="99" t="s">
        <v>176</v>
      </c>
      <c r="AU74" s="5"/>
    </row>
    <row r="75" spans="1:47" x14ac:dyDescent="0.25">
      <c r="C75"/>
      <c r="AU75" s="5"/>
    </row>
    <row r="76" spans="1:47" x14ac:dyDescent="0.25">
      <c r="C76" s="99" t="s">
        <v>177</v>
      </c>
      <c r="AU76" s="5"/>
    </row>
    <row r="77" spans="1:47" x14ac:dyDescent="0.25">
      <c r="C77"/>
      <c r="AU77" s="5"/>
    </row>
    <row r="78" spans="1:47" x14ac:dyDescent="0.25">
      <c r="C78" s="102" t="s">
        <v>178</v>
      </c>
    </row>
    <row r="79" spans="1:47" x14ac:dyDescent="0.25">
      <c r="AU79" s="5"/>
    </row>
    <row r="81" spans="7:32" x14ac:dyDescent="0.25">
      <c r="G81" s="5"/>
      <c r="H81" s="5"/>
      <c r="I81" s="5"/>
      <c r="J81" s="5"/>
      <c r="K81" s="5"/>
      <c r="L81" s="5"/>
      <c r="Z81" s="5"/>
      <c r="AA81" s="5"/>
      <c r="AB81" s="5"/>
      <c r="AC81" s="5"/>
      <c r="AD81" s="5"/>
      <c r="AE81" s="5"/>
      <c r="AF81" s="5"/>
    </row>
    <row r="82" spans="7:32" x14ac:dyDescent="0.25">
      <c r="G82" s="5"/>
      <c r="H82" s="5"/>
      <c r="I82" s="5"/>
      <c r="J82" s="5"/>
      <c r="K82" s="5"/>
      <c r="L82" s="5"/>
      <c r="Z82" s="5"/>
      <c r="AA82" s="5"/>
      <c r="AB82" s="5"/>
      <c r="AC82" s="5"/>
      <c r="AD82" s="5"/>
      <c r="AE82" s="5"/>
      <c r="AF82" s="5"/>
    </row>
    <row r="83" spans="7:32" x14ac:dyDescent="0.25">
      <c r="G83" s="5"/>
      <c r="H83" s="5"/>
      <c r="I83" s="5"/>
      <c r="J83" s="5"/>
      <c r="K83" s="5"/>
      <c r="L83" s="5"/>
      <c r="Z83" s="5"/>
      <c r="AA83" s="5"/>
      <c r="AB83" s="5"/>
      <c r="AC83" s="5"/>
      <c r="AD83" s="5"/>
      <c r="AE83" s="5"/>
      <c r="AF83" s="5"/>
    </row>
    <row r="84" spans="7:32" x14ac:dyDescent="0.25">
      <c r="G84" s="5"/>
      <c r="H84" s="5"/>
      <c r="I84" s="5"/>
      <c r="J84" s="5"/>
      <c r="K84" s="5"/>
      <c r="L84" s="5"/>
      <c r="Z84" s="5"/>
      <c r="AA84" s="5"/>
      <c r="AB84" s="5"/>
      <c r="AC84" s="5"/>
      <c r="AD84" s="5"/>
      <c r="AE84" s="5"/>
      <c r="AF84" s="5"/>
    </row>
    <row r="85" spans="7:32" x14ac:dyDescent="0.25">
      <c r="G85" s="5"/>
      <c r="H85" s="5"/>
      <c r="I85" s="5"/>
      <c r="J85" s="5"/>
      <c r="K85" s="5"/>
      <c r="L85" s="5"/>
      <c r="Z85" s="5"/>
      <c r="AA85" s="5"/>
      <c r="AB85" s="5"/>
      <c r="AC85" s="5"/>
      <c r="AD85" s="5"/>
      <c r="AE85" s="5"/>
      <c r="AF85" s="5"/>
    </row>
    <row r="86" spans="7:32" x14ac:dyDescent="0.25">
      <c r="G86" s="5"/>
      <c r="H86" s="5"/>
      <c r="I86" s="5"/>
      <c r="J86" s="5"/>
      <c r="K86" s="5"/>
      <c r="L86" s="5"/>
      <c r="Z86" s="5"/>
      <c r="AA86" s="5"/>
      <c r="AB86" s="5"/>
      <c r="AC86" s="5"/>
      <c r="AD86" s="5"/>
      <c r="AE86" s="5"/>
      <c r="AF86" s="5"/>
    </row>
    <row r="87" spans="7:32" x14ac:dyDescent="0.25">
      <c r="G87" s="5"/>
      <c r="H87" s="5"/>
      <c r="I87" s="5"/>
      <c r="J87" s="5"/>
      <c r="K87" s="5"/>
      <c r="L87" s="5"/>
      <c r="Z87" s="5"/>
      <c r="AA87" s="5"/>
      <c r="AB87" s="5"/>
      <c r="AC87" s="5"/>
      <c r="AD87" s="5"/>
      <c r="AE87" s="5"/>
      <c r="AF87" s="5"/>
    </row>
    <row r="88" spans="7:32" x14ac:dyDescent="0.25">
      <c r="G88" s="5"/>
      <c r="H88" s="5"/>
      <c r="I88" s="5"/>
      <c r="J88" s="5"/>
      <c r="K88" s="5"/>
      <c r="L88" s="5"/>
      <c r="Z88" s="5"/>
      <c r="AA88" s="5"/>
      <c r="AB88" s="5"/>
      <c r="AC88" s="5"/>
      <c r="AD88" s="5"/>
      <c r="AE88" s="5"/>
      <c r="AF88" s="5"/>
    </row>
    <row r="89" spans="7:32" x14ac:dyDescent="0.25">
      <c r="G89" s="5"/>
      <c r="H89" s="5"/>
      <c r="I89" s="5"/>
      <c r="J89" s="5"/>
      <c r="K89" s="5"/>
      <c r="L89" s="5"/>
      <c r="Z89" s="5"/>
      <c r="AA89" s="5"/>
      <c r="AB89" s="5"/>
      <c r="AC89" s="5"/>
      <c r="AD89" s="5"/>
      <c r="AE89" s="5"/>
      <c r="AF89" s="5"/>
    </row>
    <row r="90" spans="7:32" x14ac:dyDescent="0.25">
      <c r="G90" s="5"/>
      <c r="H90" s="5"/>
      <c r="I90" s="5"/>
      <c r="J90" s="5"/>
      <c r="K90" s="5"/>
      <c r="L90" s="5"/>
      <c r="Z90" s="5"/>
      <c r="AA90" s="5"/>
      <c r="AB90" s="5"/>
      <c r="AC90" s="5"/>
      <c r="AD90" s="5"/>
      <c r="AE90" s="5"/>
      <c r="AF90" s="5"/>
    </row>
    <row r="91" spans="7:32" x14ac:dyDescent="0.25">
      <c r="G91" s="5"/>
      <c r="H91" s="5"/>
      <c r="I91" s="5"/>
      <c r="J91" s="5"/>
      <c r="K91" s="5"/>
      <c r="L91" s="5"/>
      <c r="Z91" s="5"/>
      <c r="AA91" s="5"/>
      <c r="AB91" s="5"/>
      <c r="AC91" s="5"/>
      <c r="AD91" s="5"/>
      <c r="AE91" s="5"/>
      <c r="AF91" s="5"/>
    </row>
    <row r="92" spans="7:32" x14ac:dyDescent="0.25">
      <c r="G92" s="5"/>
      <c r="H92" s="5"/>
      <c r="I92" s="5"/>
      <c r="J92" s="5"/>
      <c r="K92" s="5"/>
      <c r="L92" s="5"/>
      <c r="Z92" s="5"/>
      <c r="AA92" s="5"/>
      <c r="AB92" s="5"/>
      <c r="AC92" s="5"/>
      <c r="AD92" s="5"/>
      <c r="AE92" s="5"/>
      <c r="AF92" s="5"/>
    </row>
    <row r="93" spans="7:32" x14ac:dyDescent="0.25">
      <c r="G93" s="5"/>
      <c r="H93" s="5"/>
      <c r="I93" s="5"/>
      <c r="J93" s="5"/>
      <c r="K93" s="5"/>
      <c r="L93" s="5"/>
      <c r="Z93" s="5"/>
      <c r="AA93" s="5"/>
      <c r="AB93" s="5"/>
      <c r="AC93" s="5"/>
      <c r="AD93" s="5"/>
      <c r="AE93" s="5"/>
      <c r="AF93" s="5"/>
    </row>
    <row r="94" spans="7:32" x14ac:dyDescent="0.25">
      <c r="G94" s="5"/>
      <c r="H94" s="5"/>
      <c r="I94" s="5"/>
      <c r="J94" s="5"/>
      <c r="K94" s="5"/>
      <c r="L94" s="5"/>
      <c r="Z94" s="5"/>
      <c r="AA94" s="5"/>
      <c r="AB94" s="5"/>
      <c r="AC94" s="5"/>
      <c r="AD94" s="5"/>
      <c r="AE94" s="5"/>
      <c r="AF94" s="5"/>
    </row>
    <row r="95" spans="7:32" x14ac:dyDescent="0.25">
      <c r="G95" s="5"/>
      <c r="Z95" s="42"/>
      <c r="AA95" s="42"/>
    </row>
  </sheetData>
  <phoneticPr fontId="1" type="noConversion"/>
  <hyperlinks>
    <hyperlink ref="C78" r:id="rId1" display="https://wwwbrr.cr.usgs.gov/projects/GW_Unsat/vs2di/hlp/solute/contents.html" xr:uid="{00000000-0004-0000-0000-000000000000}"/>
  </hyperlinks>
  <pageMargins left="0.75" right="0.75" top="1" bottom="1" header="0.5" footer="0.5"/>
  <pageSetup orientation="portrait" horizontalDpi="300" verticalDpi="3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121"/>
  <sheetViews>
    <sheetView topLeftCell="BA7" zoomScale="75" workbookViewId="0">
      <selection activeCell="E9" sqref="E9"/>
    </sheetView>
  </sheetViews>
  <sheetFormatPr defaultColWidth="8.88671875" defaultRowHeight="15" x14ac:dyDescent="0.25"/>
  <cols>
    <col min="1" max="1" width="17.44140625" style="1" customWidth="1"/>
    <col min="2" max="2" width="16.109375" style="1" customWidth="1"/>
    <col min="3" max="4" width="14.109375" style="1" customWidth="1"/>
    <col min="5" max="5" width="13.88671875" style="1" customWidth="1"/>
    <col min="6" max="7" width="8.88671875" style="1" customWidth="1"/>
    <col min="8" max="8" width="12.109375" style="1" customWidth="1"/>
    <col min="9" max="9" width="12.5546875" style="1" customWidth="1"/>
    <col min="10" max="10" width="10.109375" style="1" customWidth="1"/>
    <col min="11" max="11" width="11.109375" style="1" customWidth="1"/>
    <col min="12" max="12" width="12" style="1" customWidth="1"/>
    <col min="13" max="13" width="11.5546875" style="1" customWidth="1"/>
    <col min="14" max="14" width="14.44140625" style="1" customWidth="1"/>
    <col min="15" max="15" width="14.88671875" style="1" bestFit="1" customWidth="1"/>
    <col min="16" max="16" width="10.109375" style="1" bestFit="1" customWidth="1"/>
    <col min="17" max="17" width="11" style="1" customWidth="1"/>
    <col min="18" max="18" width="11.88671875" style="1" customWidth="1"/>
    <col min="19" max="19" width="10.88671875" style="1" customWidth="1"/>
    <col min="20" max="22" width="9.109375" style="1" bestFit="1" customWidth="1"/>
    <col min="23" max="24" width="12.44140625" style="1" customWidth="1"/>
    <col min="25" max="25" width="9.109375" style="1" bestFit="1" customWidth="1"/>
    <col min="26" max="26" width="11" style="1" customWidth="1"/>
    <col min="27" max="28" width="12" style="1" customWidth="1"/>
    <col min="29" max="29" width="13.5546875" style="1" customWidth="1"/>
    <col min="30" max="30" width="11.44140625" style="1" customWidth="1"/>
    <col min="31" max="31" width="10.88671875" style="1" customWidth="1"/>
    <col min="32" max="32" width="9.109375" style="1" bestFit="1" customWidth="1"/>
    <col min="33" max="33" width="11.109375" style="1" customWidth="1"/>
    <col min="34" max="34" width="11" style="1" customWidth="1"/>
    <col min="35" max="35" width="12.109375" style="1" customWidth="1"/>
    <col min="36" max="36" width="9.44140625" style="1" customWidth="1"/>
    <col min="37" max="37" width="12.44140625" style="1" customWidth="1"/>
    <col min="38" max="39" width="13.88671875" style="1" customWidth="1"/>
    <col min="40" max="40" width="13.109375" style="1" customWidth="1"/>
    <col min="41" max="42" width="8.88671875" style="1" customWidth="1"/>
    <col min="43" max="43" width="10.109375" style="1" customWidth="1"/>
    <col min="44" max="44" width="11.88671875" style="1" customWidth="1"/>
    <col min="45" max="45" width="13.109375" style="1" customWidth="1"/>
    <col min="46" max="48" width="8.88671875" style="1" customWidth="1"/>
    <col min="49" max="49" width="13.5546875" style="1" customWidth="1"/>
    <col min="50" max="50" width="11.88671875" style="1" customWidth="1"/>
    <col min="51" max="51" width="13.109375" style="1" customWidth="1"/>
    <col min="52" max="52" width="13.88671875" style="1" customWidth="1"/>
    <col min="53" max="53" width="14" style="1" customWidth="1"/>
    <col min="54" max="54" width="10.88671875" style="1" customWidth="1"/>
    <col min="55" max="55" width="11.88671875" style="1" customWidth="1"/>
    <col min="56" max="56" width="15" style="1" customWidth="1"/>
    <col min="57" max="57" width="18.88671875" style="1" customWidth="1"/>
    <col min="58" max="58" width="17.44140625" style="1" customWidth="1"/>
    <col min="59" max="59" width="15.109375" style="1" customWidth="1"/>
    <col min="60" max="60" width="15" style="1" customWidth="1"/>
    <col min="61" max="61" width="15.109375" style="1" customWidth="1"/>
    <col min="62" max="63" width="11.44140625" style="1" customWidth="1"/>
    <col min="64" max="64" width="12" style="1" customWidth="1"/>
    <col min="65" max="65" width="12.88671875" style="1" customWidth="1"/>
    <col min="66" max="67" width="8.88671875" style="1" customWidth="1"/>
    <col min="68" max="68" width="16.109375" style="1" customWidth="1"/>
    <col min="69" max="78" width="8.88671875" style="1" customWidth="1"/>
    <col min="79" max="79" width="12.44140625" style="1" customWidth="1"/>
    <col min="80" max="80" width="12.88671875" style="1" customWidth="1"/>
    <col min="81" max="81" width="11.88671875" style="1" customWidth="1"/>
    <col min="82" max="82" width="12.88671875" style="1" customWidth="1"/>
    <col min="83" max="83" width="13.109375" style="1" customWidth="1"/>
    <col min="84" max="16384" width="8.88671875" style="1"/>
  </cols>
  <sheetData>
    <row r="1" spans="1:83" ht="21" x14ac:dyDescent="0.4"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83" ht="15.6" x14ac:dyDescent="0.3">
      <c r="C2" s="44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83" ht="15.6" x14ac:dyDescent="0.3">
      <c r="C3" s="4"/>
      <c r="D3" s="44" t="s">
        <v>2</v>
      </c>
      <c r="E3" s="4"/>
      <c r="F3" s="4"/>
      <c r="G3" s="4"/>
      <c r="H3" s="4"/>
      <c r="I3" s="4"/>
      <c r="J3" s="4"/>
      <c r="K3" s="4"/>
      <c r="L3" s="4"/>
      <c r="M3" s="4"/>
    </row>
    <row r="4" spans="1:83" ht="15.6" x14ac:dyDescent="0.3">
      <c r="C4" s="4"/>
      <c r="D4" s="44" t="s">
        <v>152</v>
      </c>
      <c r="E4" s="4"/>
      <c r="F4" s="4"/>
      <c r="G4" s="4"/>
      <c r="H4" s="4"/>
      <c r="I4" s="4"/>
      <c r="J4" s="4"/>
      <c r="K4" s="4"/>
      <c r="L4" s="4"/>
      <c r="M4" s="4"/>
      <c r="BF4" s="1" t="s">
        <v>3</v>
      </c>
      <c r="BG4" s="5">
        <v>0.53391248858368001</v>
      </c>
      <c r="BH4" s="5">
        <v>0.48212498731520004</v>
      </c>
      <c r="BI4" s="5">
        <v>0.43033748604671995</v>
      </c>
      <c r="BJ4" s="5">
        <v>0.37854998477824009</v>
      </c>
    </row>
    <row r="5" spans="1:83" x14ac:dyDescent="0.25">
      <c r="BF5" s="1">
        <v>33</v>
      </c>
      <c r="BG5" s="5">
        <v>0.33154577257650691</v>
      </c>
      <c r="BH5" s="5">
        <v>0.32087754731520002</v>
      </c>
      <c r="BI5" s="5">
        <v>0.31020932205389312</v>
      </c>
      <c r="BJ5" s="5">
        <v>0.29954109679258628</v>
      </c>
    </row>
    <row r="7" spans="1:83" ht="15.6" x14ac:dyDescent="0.3">
      <c r="D7" s="6" t="s">
        <v>4</v>
      </c>
      <c r="E7" s="7"/>
      <c r="F7" s="7"/>
      <c r="G7" s="7"/>
      <c r="H7" s="7"/>
      <c r="I7" s="7"/>
      <c r="J7" s="7"/>
      <c r="K7" s="7"/>
      <c r="L7" s="7"/>
      <c r="M7" s="7"/>
      <c r="Z7" s="8"/>
    </row>
    <row r="9" spans="1:83" ht="15.6" x14ac:dyDescent="0.3">
      <c r="F9" s="9"/>
    </row>
    <row r="10" spans="1:83" ht="17.399999999999999" x14ac:dyDescent="0.3">
      <c r="F10" s="10" t="s">
        <v>5</v>
      </c>
      <c r="G10" s="5"/>
      <c r="H10" s="5"/>
      <c r="I10" s="5"/>
      <c r="J10" s="5"/>
      <c r="W10" s="9"/>
      <c r="X10" s="9"/>
      <c r="BE10" s="43" t="s">
        <v>6</v>
      </c>
      <c r="BF10" s="13"/>
      <c r="BG10" s="13"/>
      <c r="BH10" s="13"/>
      <c r="BJ10" s="43" t="s">
        <v>118</v>
      </c>
      <c r="BK10" s="13"/>
      <c r="BL10" s="12"/>
      <c r="BM10" s="13"/>
      <c r="CA10" s="13"/>
      <c r="CB10" s="43" t="s">
        <v>7</v>
      </c>
      <c r="CC10" s="13"/>
      <c r="CD10" s="13"/>
      <c r="CE10" s="13"/>
    </row>
    <row r="11" spans="1:83" ht="15.6" x14ac:dyDescent="0.3">
      <c r="F11" s="5"/>
      <c r="G11" s="5"/>
      <c r="H11" s="5"/>
      <c r="I11" s="5"/>
      <c r="J11" s="5"/>
      <c r="BD11" s="14" t="s">
        <v>8</v>
      </c>
      <c r="BJ11" s="13"/>
      <c r="BK11" s="13"/>
      <c r="BL11" s="13"/>
      <c r="BM11" s="13"/>
      <c r="CA11" s="1" t="s">
        <v>8</v>
      </c>
    </row>
    <row r="12" spans="1:83" x14ac:dyDescent="0.25">
      <c r="BD12" s="1" t="s">
        <v>9</v>
      </c>
      <c r="BE12" s="1">
        <v>3</v>
      </c>
      <c r="BF12" s="1">
        <v>5</v>
      </c>
      <c r="BG12" s="1">
        <v>8</v>
      </c>
      <c r="BH12" s="1">
        <v>11</v>
      </c>
      <c r="BI12" s="1" t="s">
        <v>9</v>
      </c>
      <c r="BJ12" s="1">
        <v>3</v>
      </c>
      <c r="BK12" s="1">
        <v>5</v>
      </c>
      <c r="BL12" s="1">
        <v>8</v>
      </c>
      <c r="BM12" s="1">
        <v>11</v>
      </c>
      <c r="CA12" s="1" t="s">
        <v>9</v>
      </c>
      <c r="CB12" s="1">
        <v>3</v>
      </c>
      <c r="CC12" s="1">
        <v>5</v>
      </c>
      <c r="CD12" s="1">
        <v>8</v>
      </c>
      <c r="CE12" s="1">
        <v>11</v>
      </c>
    </row>
    <row r="13" spans="1:83" ht="15.6" x14ac:dyDescent="0.3">
      <c r="B13" s="45" t="s">
        <v>71</v>
      </c>
      <c r="C13" s="46"/>
      <c r="D13" s="46"/>
      <c r="F13" s="15"/>
      <c r="G13" s="16" t="s">
        <v>10</v>
      </c>
      <c r="H13" s="15"/>
      <c r="I13" s="15"/>
      <c r="J13" s="15"/>
      <c r="K13" s="15"/>
      <c r="M13" s="17"/>
      <c r="N13" s="17"/>
      <c r="O13" s="18" t="s">
        <v>11</v>
      </c>
      <c r="P13" s="17"/>
      <c r="Q13" s="17"/>
      <c r="R13" s="17"/>
      <c r="S13" s="18"/>
      <c r="T13" s="17"/>
      <c r="U13" s="17"/>
      <c r="W13" s="19"/>
      <c r="X13" s="19"/>
      <c r="Y13" s="20" t="s">
        <v>12</v>
      </c>
      <c r="Z13" s="19"/>
      <c r="AA13" s="19"/>
      <c r="AB13" s="19"/>
      <c r="AC13" s="19"/>
      <c r="AD13" s="20" t="s">
        <v>12</v>
      </c>
      <c r="AE13" s="19"/>
      <c r="AF13" s="19"/>
      <c r="AG13" s="19"/>
      <c r="AH13" s="20" t="s">
        <v>12</v>
      </c>
      <c r="AI13" s="19"/>
      <c r="AJ13" s="19"/>
      <c r="AK13" s="19"/>
      <c r="AL13" s="19"/>
      <c r="AM13" s="19"/>
      <c r="AN13" s="13"/>
      <c r="AO13" s="13"/>
      <c r="AP13" s="13"/>
      <c r="AQ13" s="13"/>
      <c r="AR13" s="13"/>
      <c r="AS13" s="13"/>
      <c r="AV13" s="7"/>
      <c r="AW13" s="6" t="s">
        <v>134</v>
      </c>
      <c r="AX13" s="7"/>
      <c r="AY13" s="7"/>
      <c r="AZ13" s="7"/>
      <c r="BA13" s="7"/>
      <c r="BB13" s="7"/>
    </row>
    <row r="14" spans="1:83" ht="15.6" x14ac:dyDescent="0.3">
      <c r="A14" s="9"/>
      <c r="B14" s="9"/>
      <c r="C14" s="9"/>
      <c r="D14" s="9"/>
      <c r="E14" s="9"/>
      <c r="F14" s="9"/>
      <c r="G14" s="9"/>
      <c r="H14" s="9" t="s">
        <v>120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48" t="s">
        <v>150</v>
      </c>
      <c r="T14" s="9"/>
      <c r="U14" s="9"/>
      <c r="V14" s="9"/>
      <c r="W14" s="9"/>
      <c r="X14" s="9"/>
      <c r="Y14" s="9"/>
      <c r="Z14" s="9"/>
      <c r="AA14" s="9"/>
      <c r="AB14" s="9" t="s">
        <v>13</v>
      </c>
      <c r="AC14" s="9" t="s">
        <v>14</v>
      </c>
      <c r="AD14" s="9"/>
      <c r="AE14" s="9"/>
      <c r="AF14" s="9" t="s">
        <v>15</v>
      </c>
      <c r="AG14" s="9" t="s">
        <v>15</v>
      </c>
      <c r="AH14" s="9" t="s">
        <v>16</v>
      </c>
      <c r="AI14" s="9" t="s">
        <v>16</v>
      </c>
      <c r="AJ14" s="9" t="s">
        <v>17</v>
      </c>
      <c r="AK14" s="9" t="s">
        <v>18</v>
      </c>
      <c r="AL14" s="9"/>
      <c r="AM14" s="9" t="s">
        <v>19</v>
      </c>
      <c r="AN14" s="9"/>
      <c r="AO14" s="9" t="s">
        <v>20</v>
      </c>
      <c r="AP14" s="9" t="s">
        <v>20</v>
      </c>
      <c r="AQ14" s="9"/>
      <c r="AR14" s="9"/>
      <c r="BO14" s="13" t="s">
        <v>21</v>
      </c>
      <c r="BP14" s="13"/>
      <c r="BQ14" s="13"/>
      <c r="BR14" s="13"/>
      <c r="BS14" s="13"/>
    </row>
    <row r="15" spans="1:83" ht="15.6" x14ac:dyDescent="0.3">
      <c r="B15" s="9"/>
      <c r="C15" s="9" t="s">
        <v>22</v>
      </c>
      <c r="D15" s="9">
        <v>2149</v>
      </c>
      <c r="E15" s="9"/>
      <c r="F15" s="9" t="s">
        <v>102</v>
      </c>
      <c r="G15" s="9" t="s">
        <v>68</v>
      </c>
      <c r="H15" s="10" t="s">
        <v>132</v>
      </c>
      <c r="I15" s="10" t="s">
        <v>15</v>
      </c>
      <c r="J15" s="10" t="s">
        <v>23</v>
      </c>
      <c r="K15" s="10" t="s">
        <v>24</v>
      </c>
      <c r="L15" s="10"/>
      <c r="M15" s="10" t="s">
        <v>25</v>
      </c>
      <c r="N15" s="10" t="s">
        <v>26</v>
      </c>
      <c r="O15" s="10" t="s">
        <v>27</v>
      </c>
      <c r="P15" s="9" t="s">
        <v>28</v>
      </c>
      <c r="Q15" s="9"/>
      <c r="R15" s="9" t="s">
        <v>29</v>
      </c>
      <c r="S15" s="48" t="s">
        <v>151</v>
      </c>
      <c r="T15" s="9" t="s">
        <v>23</v>
      </c>
      <c r="U15" s="9" t="s">
        <v>31</v>
      </c>
      <c r="V15" s="9"/>
      <c r="W15" s="9" t="s">
        <v>32</v>
      </c>
      <c r="X15" s="9" t="s">
        <v>32</v>
      </c>
      <c r="Y15" s="9" t="s">
        <v>32</v>
      </c>
      <c r="Z15" s="9" t="s">
        <v>33</v>
      </c>
      <c r="AA15" s="9" t="s">
        <v>34</v>
      </c>
      <c r="AB15" s="9" t="s">
        <v>34</v>
      </c>
      <c r="AC15" s="9" t="s">
        <v>35</v>
      </c>
      <c r="AD15" s="9" t="s">
        <v>14</v>
      </c>
      <c r="AE15" s="9" t="s">
        <v>36</v>
      </c>
      <c r="AF15" s="9" t="s">
        <v>37</v>
      </c>
      <c r="AG15" s="9" t="s">
        <v>38</v>
      </c>
      <c r="AH15" s="9" t="s">
        <v>39</v>
      </c>
      <c r="AI15" s="9" t="s">
        <v>40</v>
      </c>
      <c r="AJ15" s="9" t="s">
        <v>41</v>
      </c>
      <c r="AK15" s="9" t="s">
        <v>17</v>
      </c>
      <c r="AL15" s="9" t="s">
        <v>42</v>
      </c>
      <c r="AM15" s="9" t="s">
        <v>43</v>
      </c>
      <c r="AN15" s="9" t="s">
        <v>44</v>
      </c>
      <c r="AO15" s="48" t="s">
        <v>45</v>
      </c>
      <c r="AP15" s="48" t="s">
        <v>46</v>
      </c>
      <c r="AQ15" s="9" t="s">
        <v>47</v>
      </c>
      <c r="AR15" s="9" t="s">
        <v>47</v>
      </c>
      <c r="BD15" s="22">
        <v>64</v>
      </c>
      <c r="BE15" s="22"/>
      <c r="BF15" s="22"/>
      <c r="BG15" s="22"/>
      <c r="BH15" s="22"/>
      <c r="BI15" s="22">
        <v>64</v>
      </c>
      <c r="BJ15" s="23"/>
      <c r="BK15" s="23"/>
      <c r="BL15" s="23"/>
      <c r="BM15" s="23"/>
      <c r="BO15" s="1" t="s">
        <v>48</v>
      </c>
      <c r="BP15" s="1">
        <v>4.4005789427145254</v>
      </c>
      <c r="BQ15" s="1">
        <v>4.4670908195427241</v>
      </c>
      <c r="BR15" s="1">
        <v>4.5365549433168368</v>
      </c>
      <c r="BS15" s="1">
        <v>4.6091786931243579</v>
      </c>
      <c r="CA15" s="1">
        <v>64</v>
      </c>
      <c r="CB15" s="22"/>
      <c r="CC15" s="22"/>
      <c r="CD15" s="22"/>
      <c r="CE15" s="22"/>
    </row>
    <row r="16" spans="1:83" ht="17.399999999999999" x14ac:dyDescent="0.3">
      <c r="B16" s="9" t="s">
        <v>49</v>
      </c>
      <c r="C16" s="9" t="s">
        <v>50</v>
      </c>
      <c r="D16" s="9" t="s">
        <v>51</v>
      </c>
      <c r="E16" s="9"/>
      <c r="F16" s="49" t="s">
        <v>131</v>
      </c>
      <c r="G16" s="49" t="s">
        <v>131</v>
      </c>
      <c r="H16" s="49" t="s">
        <v>52</v>
      </c>
      <c r="I16" s="10" t="s">
        <v>53</v>
      </c>
      <c r="J16" s="10" t="s">
        <v>54</v>
      </c>
      <c r="K16" s="10" t="s">
        <v>55</v>
      </c>
      <c r="L16" s="10"/>
      <c r="M16" s="9" t="s">
        <v>56</v>
      </c>
      <c r="N16" s="9" t="s">
        <v>57</v>
      </c>
      <c r="O16" s="9" t="s">
        <v>14</v>
      </c>
      <c r="P16" s="9" t="s">
        <v>58</v>
      </c>
      <c r="Q16" s="9" t="s">
        <v>59</v>
      </c>
      <c r="R16" s="9"/>
      <c r="S16" s="9">
        <v>10</v>
      </c>
      <c r="T16" s="9" t="s">
        <v>60</v>
      </c>
      <c r="U16" s="9" t="s">
        <v>15</v>
      </c>
      <c r="V16" s="9"/>
      <c r="W16" s="9" t="s">
        <v>61</v>
      </c>
      <c r="X16" s="9" t="s">
        <v>61</v>
      </c>
      <c r="Y16" s="9" t="s">
        <v>17</v>
      </c>
      <c r="Z16" s="9" t="s">
        <v>17</v>
      </c>
      <c r="AA16" s="9" t="s">
        <v>62</v>
      </c>
      <c r="AB16" s="9" t="s">
        <v>62</v>
      </c>
      <c r="AC16" s="9" t="s">
        <v>62</v>
      </c>
      <c r="AD16" s="9" t="s">
        <v>36</v>
      </c>
      <c r="AE16" s="9" t="s">
        <v>14</v>
      </c>
      <c r="AF16" s="9"/>
      <c r="AG16" s="9"/>
      <c r="AH16" s="9" t="s">
        <v>63</v>
      </c>
      <c r="AI16" s="9" t="s">
        <v>64</v>
      </c>
      <c r="AJ16" s="9"/>
      <c r="AK16" s="9" t="s">
        <v>38</v>
      </c>
      <c r="AL16" s="9"/>
      <c r="AM16" s="9" t="s">
        <v>44</v>
      </c>
      <c r="AN16" s="9" t="s">
        <v>65</v>
      </c>
      <c r="AO16" s="9"/>
      <c r="AP16" s="9"/>
      <c r="AQ16" s="9" t="s">
        <v>66</v>
      </c>
      <c r="AR16" s="9" t="s">
        <v>67</v>
      </c>
      <c r="BD16" s="22">
        <v>62</v>
      </c>
      <c r="BE16" s="22"/>
      <c r="BF16" s="22"/>
      <c r="BG16" s="22"/>
      <c r="BH16" s="22"/>
      <c r="BI16" s="22">
        <v>62</v>
      </c>
      <c r="BO16" s="1" t="s">
        <v>3</v>
      </c>
      <c r="BP16" s="5">
        <v>0.53391248858368001</v>
      </c>
      <c r="BQ16" s="5">
        <v>0.48212498731520004</v>
      </c>
      <c r="BR16" s="5">
        <v>0.43033748604671995</v>
      </c>
      <c r="BS16" s="5">
        <v>0.37854998477824009</v>
      </c>
      <c r="BU16" s="43" t="s">
        <v>69</v>
      </c>
      <c r="BV16" s="13"/>
      <c r="BW16" s="13"/>
      <c r="CA16" s="1">
        <v>62</v>
      </c>
      <c r="CB16" s="22"/>
      <c r="CC16" s="22"/>
      <c r="CD16" s="22"/>
      <c r="CE16" s="22"/>
    </row>
    <row r="17" spans="2:83" ht="15.6" x14ac:dyDescent="0.3">
      <c r="B17" s="9"/>
      <c r="C17" s="9"/>
      <c r="D17" s="9" t="s">
        <v>70</v>
      </c>
      <c r="E17" s="9"/>
      <c r="F17" s="9"/>
      <c r="G17" s="9"/>
      <c r="H17" s="9"/>
      <c r="I17" s="50" t="s">
        <v>119</v>
      </c>
      <c r="J17" s="10"/>
      <c r="K17" s="10"/>
      <c r="L17" s="10"/>
      <c r="M17" s="9" t="s">
        <v>52</v>
      </c>
      <c r="N17" s="9" t="s">
        <v>52</v>
      </c>
      <c r="O17" s="9" t="s">
        <v>52</v>
      </c>
      <c r="P17" s="9" t="s">
        <v>52</v>
      </c>
      <c r="Q17" s="9" t="s">
        <v>65</v>
      </c>
      <c r="R17" s="9" t="s">
        <v>72</v>
      </c>
      <c r="S17" s="9" t="s">
        <v>52</v>
      </c>
      <c r="T17" s="9"/>
      <c r="U17" s="9" t="s">
        <v>72</v>
      </c>
      <c r="V17" s="9"/>
      <c r="W17" s="9" t="s">
        <v>73</v>
      </c>
      <c r="X17" s="9" t="s">
        <v>74</v>
      </c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 t="s">
        <v>75</v>
      </c>
      <c r="AR17" s="9" t="s">
        <v>76</v>
      </c>
      <c r="BD17" s="22">
        <v>60</v>
      </c>
      <c r="BE17" s="22"/>
      <c r="BF17" s="22"/>
      <c r="BG17" s="22"/>
      <c r="BH17" s="22"/>
      <c r="BI17" s="22">
        <v>60</v>
      </c>
      <c r="BO17" s="1" t="s">
        <v>77</v>
      </c>
      <c r="BP17" s="1">
        <v>0.9</v>
      </c>
      <c r="BQ17" s="1">
        <v>1</v>
      </c>
      <c r="BR17" s="1">
        <v>1.1000000000000001</v>
      </c>
      <c r="BS17" s="1">
        <v>1.2</v>
      </c>
      <c r="BU17" s="1" t="s">
        <v>78</v>
      </c>
      <c r="CA17" s="1">
        <v>60</v>
      </c>
      <c r="CB17" s="22"/>
      <c r="CC17" s="22"/>
      <c r="CD17" s="22"/>
      <c r="CE17" s="22"/>
    </row>
    <row r="18" spans="2:83" x14ac:dyDescent="0.25">
      <c r="B18" s="1">
        <v>1</v>
      </c>
      <c r="C18" s="1" t="s">
        <v>102</v>
      </c>
      <c r="D18" s="1">
        <v>66</v>
      </c>
      <c r="F18" s="5">
        <v>0.84627272727272718</v>
      </c>
      <c r="G18" s="5">
        <v>4.3015151515151513E-2</v>
      </c>
      <c r="H18" s="5">
        <v>2.08</v>
      </c>
      <c r="I18" s="5">
        <v>1</v>
      </c>
      <c r="J18" s="5">
        <v>0</v>
      </c>
      <c r="K18" s="5">
        <v>0</v>
      </c>
      <c r="L18" s="5"/>
      <c r="M18" s="5">
        <f t="shared" ref="M18:M28" si="0">X18</f>
        <v>4.1823697243966951E-2</v>
      </c>
      <c r="N18" s="5">
        <f t="shared" ref="N18:N28" si="1">AJ18</f>
        <v>0.1002115172030591</v>
      </c>
      <c r="O18" s="5">
        <f t="shared" ref="O18:O28" si="2">AH18</f>
        <v>0.45331093699999581</v>
      </c>
      <c r="P18" s="5">
        <f t="shared" ref="P18:P28" si="3">(N18-M18)*(1-T18)</f>
        <v>5.8387819959092147E-2</v>
      </c>
      <c r="Q18" s="5">
        <f t="shared" ref="Q18:Q28" si="4">AN18</f>
        <v>107.83391229127439</v>
      </c>
      <c r="R18" s="5">
        <f t="shared" ref="R18:R28" si="5">AG18</f>
        <v>1.4487260169500111</v>
      </c>
      <c r="S18" s="5">
        <f t="shared" ref="S18:S28" si="6">N18-(S$16-33)*(O18-N18)/(33-AR18)</f>
        <v>0.34486239523748685</v>
      </c>
      <c r="T18" s="5">
        <f t="shared" ref="T18:T28" si="7">((R18/2.65)*J18)/(1-J18*(1-R18/2.65))</f>
        <v>0</v>
      </c>
      <c r="U18" s="5">
        <f t="shared" ref="U18:U28" si="8">T18*2.65+(1-T18)*R18</f>
        <v>1.4487260169500111</v>
      </c>
      <c r="W18" s="5">
        <f t="shared" ref="W18:W28" si="9">-0.024*F18+0.487*G18+0.006*H18+0.005*F18*H18-0.013*G18*H18+0.068*F18*G18+0.031</f>
        <v>5.4231313371900833E-2</v>
      </c>
      <c r="X18" s="5">
        <f t="shared" ref="X18:X28" si="10">W18+0.14*W18-0.02</f>
        <v>4.1823697243966951E-2</v>
      </c>
      <c r="Y18" s="24">
        <f t="shared" ref="Y18:Y28" si="11">-0.251*F18+0.195*G18+0.011*H18+0.006*F18*H18-0.027*G18*H18+0.452*F18*G18+0.299</f>
        <v>0.14245320514049589</v>
      </c>
      <c r="Z18" s="24">
        <f t="shared" ref="Z18:Z28" si="12">Y18+(1.283*Y18*Y18-0.374*Y18-0.015)</f>
        <v>0.1002115172030591</v>
      </c>
      <c r="AA18" s="5">
        <f t="shared" ref="AA18:AA28" si="13">0.278*F18+0.034*G18+0.022*H18-0.018*F18*H18-0.027*G18*H18-0.584*F18*G18+0.078</f>
        <v>0.30512706255647387</v>
      </c>
      <c r="AB18" s="5">
        <f t="shared" ref="AB18:AB28" si="14">AA18+(0.636*AA18-0.107)</f>
        <v>0.39218787434239127</v>
      </c>
      <c r="AC18" s="5">
        <f t="shared" ref="AC18:AC28" si="15">AB18+Z18</f>
        <v>0.49239939154545037</v>
      </c>
      <c r="AD18" s="24">
        <f t="shared" ref="AD18:AD28" si="16">-0.097*F18+0.043</f>
        <v>-3.9088454545454537E-2</v>
      </c>
      <c r="AE18" s="5">
        <f t="shared" ref="AE18:AE28" si="17">AC18+AD18</f>
        <v>0.45331093699999581</v>
      </c>
      <c r="AF18" s="5">
        <f t="shared" ref="AF18:AF28" si="18">(1-AE18)*2.65</f>
        <v>1.4487260169500111</v>
      </c>
      <c r="AG18" s="5">
        <f t="shared" ref="AG18:AG28" si="19">AF18*(I18)</f>
        <v>1.4487260169500111</v>
      </c>
      <c r="AH18" s="5">
        <f t="shared" ref="AH18:AH28" si="20">1-(AG18/2.65)</f>
        <v>0.45331093699999581</v>
      </c>
      <c r="AI18" s="24">
        <f t="shared" ref="AI18:AI28" si="21">(1-AG18/2.65)-(1-AF18/2.65)</f>
        <v>0</v>
      </c>
      <c r="AJ18" s="24">
        <f t="shared" ref="AJ18:AJ28" si="22">Z18+0.2*AI18</f>
        <v>0.1002115172030591</v>
      </c>
      <c r="AK18" s="24">
        <f t="shared" ref="AK18:AK28" si="23">AH18-AJ18</f>
        <v>0.35309941979693671</v>
      </c>
      <c r="AL18" s="24">
        <f t="shared" ref="AL18:AL28" si="24" xml:space="preserve"> (LN(AJ18)-LN(X18))/(LN(1500)-LN(33))</f>
        <v>0.22894570943894135</v>
      </c>
      <c r="AM18" s="24">
        <f t="shared" ref="AM18:AM28" si="25">(1-J18)/(1-J18*(1-1.5*(R18/2.65)))</f>
        <v>1</v>
      </c>
      <c r="AN18" s="25">
        <f t="shared" ref="AN18:AN28" si="26">1930*(AK18)^(3-AL18)*AM18</f>
        <v>107.83391229127439</v>
      </c>
      <c r="AO18" s="5">
        <f t="shared" ref="AO18:AO28" si="27">(LN(1500)-LN(33))/(LN(AJ18)-LN(X18))</f>
        <v>4.3678477419411736</v>
      </c>
      <c r="AP18" s="24">
        <f t="shared" ref="AP18:AP28" si="28">EXP(LN(33)+(AO18*LN(AJ18)))</f>
        <v>1.4278227531202489E-3</v>
      </c>
      <c r="AQ18" s="25">
        <f t="shared" ref="AQ18:AQ28" si="29">-21.674*$F18-27.932*$G18-81.975*$AK18+71.121*$F18*$AK18+8.294*$G18*$AK18+14.05*$F18*$G18+27.161</f>
        <v>0.56175510268807116</v>
      </c>
      <c r="AR18" s="25">
        <f t="shared" ref="AR18:AR28" si="30">AQ18+(0.02*AQ18^2-0.113*AQ18-0.7)</f>
        <v>-0.19541184800775913</v>
      </c>
      <c r="AS18" s="5"/>
      <c r="AV18" s="1" t="s">
        <v>79</v>
      </c>
      <c r="AX18" s="1">
        <v>3</v>
      </c>
      <c r="AY18" s="1">
        <v>5</v>
      </c>
      <c r="AZ18" s="1">
        <v>8</v>
      </c>
      <c r="BA18" s="1">
        <v>11</v>
      </c>
      <c r="BD18" s="22">
        <v>58</v>
      </c>
      <c r="BE18" s="22"/>
      <c r="BF18" s="22"/>
      <c r="BG18" s="22"/>
      <c r="BH18" s="22"/>
      <c r="BI18" s="22">
        <v>58</v>
      </c>
      <c r="BO18" s="1" t="s">
        <v>80</v>
      </c>
      <c r="BQ18" s="1" t="s">
        <v>81</v>
      </c>
      <c r="CA18" s="1">
        <v>58</v>
      </c>
      <c r="CB18" s="22"/>
      <c r="CC18" s="22"/>
      <c r="CD18" s="22"/>
      <c r="CE18" s="22"/>
    </row>
    <row r="19" spans="2:83" x14ac:dyDescent="0.25">
      <c r="B19" s="1">
        <v>2</v>
      </c>
      <c r="C19" s="1" t="s">
        <v>121</v>
      </c>
      <c r="D19" s="1">
        <v>32</v>
      </c>
      <c r="F19" s="5">
        <v>0.80243750000000003</v>
      </c>
      <c r="G19" s="5">
        <v>5.1656249999999994E-2</v>
      </c>
      <c r="H19" s="5">
        <v>2.3279387499999999</v>
      </c>
      <c r="I19" s="5">
        <v>1</v>
      </c>
      <c r="J19" s="5">
        <v>0</v>
      </c>
      <c r="K19" s="5">
        <v>0</v>
      </c>
      <c r="L19" s="5"/>
      <c r="M19" s="5">
        <f t="shared" si="0"/>
        <v>5.0065803805396089E-2</v>
      </c>
      <c r="N19" s="5">
        <f t="shared" si="1"/>
        <v>0.11796917189514419</v>
      </c>
      <c r="O19" s="5">
        <f t="shared" si="2"/>
        <v>0.45543162362524348</v>
      </c>
      <c r="P19" s="5">
        <f t="shared" si="3"/>
        <v>6.7903368089748103E-2</v>
      </c>
      <c r="Q19" s="5">
        <f t="shared" si="4"/>
        <v>94.662043986412698</v>
      </c>
      <c r="R19" s="5">
        <f t="shared" si="5"/>
        <v>1.4431061973931048</v>
      </c>
      <c r="S19" s="5">
        <f t="shared" si="6"/>
        <v>0.35234459415940755</v>
      </c>
      <c r="T19" s="5">
        <f t="shared" si="7"/>
        <v>0</v>
      </c>
      <c r="U19" s="5">
        <f t="shared" si="8"/>
        <v>1.4431061973931048</v>
      </c>
      <c r="W19" s="5">
        <f t="shared" si="9"/>
        <v>6.1461231408242181E-2</v>
      </c>
      <c r="X19" s="5">
        <f t="shared" si="10"/>
        <v>5.0065803805396089E-2</v>
      </c>
      <c r="Y19" s="24">
        <f t="shared" si="11"/>
        <v>0.15996562705417966</v>
      </c>
      <c r="Z19" s="24">
        <f t="shared" si="12"/>
        <v>0.11796917189514419</v>
      </c>
      <c r="AA19" s="5">
        <f t="shared" si="13"/>
        <v>0.29296998119199225</v>
      </c>
      <c r="AB19" s="5">
        <f t="shared" si="14"/>
        <v>0.37229888923009929</v>
      </c>
      <c r="AC19" s="5">
        <f t="shared" si="15"/>
        <v>0.49026806112524346</v>
      </c>
      <c r="AD19" s="24">
        <f t="shared" si="16"/>
        <v>-3.4836437500000011E-2</v>
      </c>
      <c r="AE19" s="5">
        <f t="shared" si="17"/>
        <v>0.45543162362524348</v>
      </c>
      <c r="AF19" s="5">
        <f t="shared" si="18"/>
        <v>1.4431061973931048</v>
      </c>
      <c r="AG19" s="5">
        <f t="shared" si="19"/>
        <v>1.4431061973931048</v>
      </c>
      <c r="AH19" s="5">
        <f t="shared" si="20"/>
        <v>0.45543162362524348</v>
      </c>
      <c r="AI19" s="24">
        <f t="shared" si="21"/>
        <v>0</v>
      </c>
      <c r="AJ19" s="24">
        <f t="shared" si="22"/>
        <v>0.11796917189514419</v>
      </c>
      <c r="AK19" s="24">
        <f t="shared" si="23"/>
        <v>0.33746245173009926</v>
      </c>
      <c r="AL19" s="24">
        <f t="shared" si="24"/>
        <v>0.22456107076895934</v>
      </c>
      <c r="AM19" s="24">
        <f t="shared" si="25"/>
        <v>1</v>
      </c>
      <c r="AN19" s="25">
        <f t="shared" si="26"/>
        <v>94.662043986412698</v>
      </c>
      <c r="AO19" s="5">
        <f t="shared" si="27"/>
        <v>4.4531315983474906</v>
      </c>
      <c r="AP19" s="24">
        <f t="shared" si="28"/>
        <v>2.426481887704965E-3</v>
      </c>
      <c r="AQ19" s="25">
        <f t="shared" si="29"/>
        <v>0.64862471338382832</v>
      </c>
      <c r="AR19" s="25">
        <f t="shared" si="30"/>
        <v>-0.11625559885229919</v>
      </c>
      <c r="AS19" s="5"/>
      <c r="BB19" s="5"/>
      <c r="BD19" s="22">
        <v>56</v>
      </c>
      <c r="BE19" s="22"/>
      <c r="BF19" s="22"/>
      <c r="BG19" s="22"/>
      <c r="BH19" s="22"/>
      <c r="BI19" s="22">
        <v>56</v>
      </c>
      <c r="BU19" s="1" t="s">
        <v>82</v>
      </c>
      <c r="BV19" s="1" t="s">
        <v>60</v>
      </c>
      <c r="BW19" s="1" t="s">
        <v>83</v>
      </c>
      <c r="BX19" s="1" t="s">
        <v>84</v>
      </c>
      <c r="CA19" s="1">
        <v>56</v>
      </c>
      <c r="CB19" s="22"/>
      <c r="CC19" s="22"/>
      <c r="CD19" s="22"/>
      <c r="CE19" s="22"/>
    </row>
    <row r="20" spans="2:83" x14ac:dyDescent="0.25">
      <c r="B20" s="1">
        <v>3</v>
      </c>
      <c r="C20" s="1" t="s">
        <v>122</v>
      </c>
      <c r="D20" s="1">
        <v>277</v>
      </c>
      <c r="F20" s="5">
        <v>0.63445487364620923</v>
      </c>
      <c r="G20" s="5">
        <v>0.10299277978339348</v>
      </c>
      <c r="H20" s="5">
        <v>2.5199651985559579</v>
      </c>
      <c r="I20" s="5">
        <v>1</v>
      </c>
      <c r="J20" s="5">
        <v>0</v>
      </c>
      <c r="K20" s="5">
        <v>0</v>
      </c>
      <c r="L20" s="5"/>
      <c r="M20" s="5">
        <f t="shared" si="0"/>
        <v>8.272972350748331E-2</v>
      </c>
      <c r="N20" s="5">
        <f t="shared" si="1"/>
        <v>0.18443153450887401</v>
      </c>
      <c r="O20" s="5">
        <f t="shared" si="2"/>
        <v>0.45050262847422984</v>
      </c>
      <c r="P20" s="5">
        <f t="shared" si="3"/>
        <v>0.1017018110013907</v>
      </c>
      <c r="Q20" s="5">
        <f t="shared" si="4"/>
        <v>48.009750860294815</v>
      </c>
      <c r="R20" s="5">
        <f t="shared" si="5"/>
        <v>1.4561680345432908</v>
      </c>
      <c r="S20" s="5">
        <f t="shared" si="6"/>
        <v>0.37585961208202656</v>
      </c>
      <c r="T20" s="5">
        <f t="shared" si="7"/>
        <v>0</v>
      </c>
      <c r="U20" s="5">
        <f t="shared" si="8"/>
        <v>1.4561680345432908</v>
      </c>
      <c r="W20" s="5">
        <f t="shared" si="9"/>
        <v>9.0113792550423955E-2</v>
      </c>
      <c r="X20" s="5">
        <f t="shared" si="10"/>
        <v>8.272972350748331E-2</v>
      </c>
      <c r="Y20" s="24">
        <f t="shared" si="11"/>
        <v>0.21967593973604715</v>
      </c>
      <c r="Z20" s="24">
        <f t="shared" si="12"/>
        <v>0.18443153450887401</v>
      </c>
      <c r="AA20" s="5">
        <f t="shared" si="13"/>
        <v>0.23937238185149029</v>
      </c>
      <c r="AB20" s="5">
        <f t="shared" si="14"/>
        <v>0.28461321670903811</v>
      </c>
      <c r="AC20" s="5">
        <f t="shared" si="15"/>
        <v>0.46904475121791211</v>
      </c>
      <c r="AD20" s="24">
        <f t="shared" si="16"/>
        <v>-1.8542122743682297E-2</v>
      </c>
      <c r="AE20" s="5">
        <f t="shared" si="17"/>
        <v>0.45050262847422984</v>
      </c>
      <c r="AF20" s="5">
        <f t="shared" si="18"/>
        <v>1.4561680345432908</v>
      </c>
      <c r="AG20" s="5">
        <f t="shared" si="19"/>
        <v>1.4561680345432908</v>
      </c>
      <c r="AH20" s="5">
        <f t="shared" si="20"/>
        <v>0.45050262847422984</v>
      </c>
      <c r="AI20" s="24">
        <f t="shared" si="21"/>
        <v>0</v>
      </c>
      <c r="AJ20" s="24">
        <f t="shared" si="22"/>
        <v>0.18443153450887401</v>
      </c>
      <c r="AK20" s="24">
        <f t="shared" si="23"/>
        <v>0.26607109396535583</v>
      </c>
      <c r="AL20" s="24">
        <f t="shared" si="24"/>
        <v>0.21004969288398839</v>
      </c>
      <c r="AM20" s="24">
        <f t="shared" si="25"/>
        <v>1</v>
      </c>
      <c r="AN20" s="25">
        <f t="shared" si="26"/>
        <v>48.009750860294815</v>
      </c>
      <c r="AO20" s="5">
        <f t="shared" si="27"/>
        <v>4.760778205718708</v>
      </c>
      <c r="AP20" s="24">
        <f t="shared" si="28"/>
        <v>1.0551593798214937E-2</v>
      </c>
      <c r="AQ20" s="25">
        <f t="shared" si="29"/>
        <v>1.8731669232386423</v>
      </c>
      <c r="AR20" s="25">
        <f t="shared" si="30"/>
        <v>1.0316741473589821</v>
      </c>
      <c r="AS20" s="5"/>
      <c r="AV20" s="1" t="s">
        <v>30</v>
      </c>
      <c r="AX20" s="5">
        <f>$S30</f>
        <v>0.46340688873350877</v>
      </c>
      <c r="AY20" s="5">
        <f>$S31</f>
        <v>0.4828378667433999</v>
      </c>
      <c r="AZ20" s="5">
        <f>$S32</f>
        <v>0.46699851192004732</v>
      </c>
      <c r="BA20" s="5">
        <f>$S33</f>
        <v>0.50782942765707106</v>
      </c>
      <c r="BB20" s="5"/>
      <c r="BD20" s="22">
        <f t="shared" ref="BD20:BD25" si="31">BD19-2</f>
        <v>54</v>
      </c>
      <c r="BE20" s="22"/>
      <c r="BF20" s="22"/>
      <c r="BG20" s="22"/>
      <c r="BH20" s="22"/>
      <c r="BI20" s="22">
        <v>54</v>
      </c>
      <c r="BO20" s="1">
        <f t="shared" ref="BO20:BO38" si="32">BI20/100/$BP$16</f>
        <v>1.0114017026132287</v>
      </c>
      <c r="BP20" s="25">
        <v>25.043627272756698</v>
      </c>
      <c r="BQ20" s="25">
        <v>12.141446393783953</v>
      </c>
      <c r="BR20" s="25">
        <v>4.558694484951423</v>
      </c>
      <c r="BS20" s="25">
        <v>0.99723754689836819</v>
      </c>
      <c r="BU20" s="5">
        <v>0</v>
      </c>
      <c r="BV20" s="5">
        <v>0</v>
      </c>
      <c r="BW20" s="5">
        <v>1.3723687836147198</v>
      </c>
      <c r="BX20" s="25">
        <v>12.141446393783953</v>
      </c>
      <c r="CA20" s="1">
        <f t="shared" ref="CA20:CA25" si="33">CA19-2</f>
        <v>54</v>
      </c>
      <c r="CB20" s="22"/>
      <c r="CC20" s="22"/>
      <c r="CD20" s="22"/>
      <c r="CE20" s="22"/>
    </row>
    <row r="21" spans="2:83" x14ac:dyDescent="0.25">
      <c r="B21" s="1">
        <v>4</v>
      </c>
      <c r="C21" s="1" t="s">
        <v>123</v>
      </c>
      <c r="D21" s="1">
        <v>318</v>
      </c>
      <c r="F21" s="5">
        <v>0.41237421383647804</v>
      </c>
      <c r="G21" s="5">
        <v>0.18547798742138361</v>
      </c>
      <c r="H21" s="5">
        <v>3.055654465408804</v>
      </c>
      <c r="I21" s="5">
        <v>1</v>
      </c>
      <c r="J21" s="5">
        <v>0</v>
      </c>
      <c r="K21" s="5">
        <v>0</v>
      </c>
      <c r="L21" s="5"/>
      <c r="M21" s="5">
        <f t="shared" si="0"/>
        <v>0.13264409143084757</v>
      </c>
      <c r="N21" s="5">
        <f t="shared" si="1"/>
        <v>0.27732918565424886</v>
      </c>
      <c r="O21" s="5">
        <f t="shared" si="2"/>
        <v>0.47356583005495534</v>
      </c>
      <c r="P21" s="5">
        <f t="shared" si="3"/>
        <v>0.14468509422340128</v>
      </c>
      <c r="Q21" s="5">
        <f t="shared" si="4"/>
        <v>19.978354234712999</v>
      </c>
      <c r="R21" s="5">
        <f t="shared" si="5"/>
        <v>1.3950505503543682</v>
      </c>
      <c r="S21" s="5">
        <f t="shared" si="6"/>
        <v>0.42909279030703013</v>
      </c>
      <c r="T21" s="5">
        <f t="shared" si="7"/>
        <v>0</v>
      </c>
      <c r="U21" s="5">
        <f t="shared" si="8"/>
        <v>1.3950505503543682</v>
      </c>
      <c r="W21" s="5">
        <f t="shared" si="9"/>
        <v>0.13389832581653294</v>
      </c>
      <c r="X21" s="5">
        <f t="shared" si="10"/>
        <v>0.13264409143084757</v>
      </c>
      <c r="Y21" s="24">
        <f t="shared" si="11"/>
        <v>0.29210431368738893</v>
      </c>
      <c r="Z21" s="24">
        <f t="shared" si="12"/>
        <v>0.27732918565424886</v>
      </c>
      <c r="AA21" s="5">
        <f t="shared" si="13"/>
        <v>0.18351891390149438</v>
      </c>
      <c r="AB21" s="5">
        <f t="shared" si="14"/>
        <v>0.19323694314284481</v>
      </c>
      <c r="AC21" s="5">
        <f t="shared" si="15"/>
        <v>0.4705661287970937</v>
      </c>
      <c r="AD21" s="24">
        <f t="shared" si="16"/>
        <v>2.9997012578616283E-3</v>
      </c>
      <c r="AE21" s="5">
        <f t="shared" si="17"/>
        <v>0.47356583005495534</v>
      </c>
      <c r="AF21" s="5">
        <f t="shared" si="18"/>
        <v>1.3950505503543682</v>
      </c>
      <c r="AG21" s="5">
        <f t="shared" si="19"/>
        <v>1.3950505503543682</v>
      </c>
      <c r="AH21" s="5">
        <f t="shared" si="20"/>
        <v>0.47356583005495534</v>
      </c>
      <c r="AI21" s="24">
        <f t="shared" si="21"/>
        <v>0</v>
      </c>
      <c r="AJ21" s="24">
        <f t="shared" si="22"/>
        <v>0.27732918565424886</v>
      </c>
      <c r="AK21" s="24">
        <f t="shared" si="23"/>
        <v>0.19623664440070648</v>
      </c>
      <c r="AL21" s="24">
        <f t="shared" si="24"/>
        <v>0.19323844709343654</v>
      </c>
      <c r="AM21" s="24">
        <f t="shared" si="25"/>
        <v>1</v>
      </c>
      <c r="AN21" s="25">
        <f t="shared" si="26"/>
        <v>19.978354234712999</v>
      </c>
      <c r="AO21" s="5">
        <f t="shared" si="27"/>
        <v>5.1749536132241341</v>
      </c>
      <c r="AP21" s="24">
        <f t="shared" si="28"/>
        <v>4.325555466964396E-2</v>
      </c>
      <c r="AQ21" s="25">
        <f t="shared" si="29"/>
        <v>4.0877656410835179</v>
      </c>
      <c r="AR21" s="25">
        <f t="shared" si="30"/>
        <v>3.2600446823695393</v>
      </c>
      <c r="AS21" s="5"/>
      <c r="AV21" s="1" t="s">
        <v>26</v>
      </c>
      <c r="AX21" s="5">
        <f>$N30</f>
        <v>0.27500747938508802</v>
      </c>
      <c r="AY21" s="5">
        <f>$N31</f>
        <v>0.33137665900924468</v>
      </c>
      <c r="AZ21" s="5">
        <f>$N32</f>
        <v>0.35196466578015978</v>
      </c>
      <c r="BA21" s="5">
        <f>$N33</f>
        <v>0.43455169849824726</v>
      </c>
      <c r="BB21" s="5"/>
      <c r="BD21" s="22">
        <f t="shared" si="31"/>
        <v>52</v>
      </c>
      <c r="BE21" s="22"/>
      <c r="BF21" s="22"/>
      <c r="BG21" s="22"/>
      <c r="BH21" s="22"/>
      <c r="BI21" s="22">
        <v>52</v>
      </c>
      <c r="BO21" s="1">
        <f t="shared" si="32"/>
        <v>0.97394238029422031</v>
      </c>
      <c r="BP21" s="25">
        <f t="shared" ref="BP21:BS33" si="34">BP$20*$BO21^(3+2*BP$15)</f>
        <v>18.339034689289761</v>
      </c>
      <c r="BQ21" s="25">
        <f t="shared" si="34"/>
        <v>8.8598081743549244</v>
      </c>
      <c r="BR21" s="25">
        <f t="shared" si="34"/>
        <v>3.3143725721800479</v>
      </c>
      <c r="BS21" s="25">
        <f t="shared" si="34"/>
        <v>0.72226063565323995</v>
      </c>
      <c r="BU21" s="5">
        <v>0.05</v>
      </c>
      <c r="BV21" s="5">
        <v>2.6533370684474079E-2</v>
      </c>
      <c r="BW21" s="5">
        <v>1.4062686462771261</v>
      </c>
      <c r="BX21" s="25">
        <v>11.664543073356816</v>
      </c>
      <c r="CA21" s="1">
        <f t="shared" si="33"/>
        <v>52</v>
      </c>
      <c r="CB21" s="22"/>
      <c r="CC21" s="22"/>
      <c r="CD21" s="22"/>
      <c r="CE21" s="22"/>
    </row>
    <row r="22" spans="2:83" x14ac:dyDescent="0.25">
      <c r="B22" s="1">
        <v>5</v>
      </c>
      <c r="C22" s="1" t="s">
        <v>124</v>
      </c>
      <c r="D22" s="1">
        <v>736</v>
      </c>
      <c r="F22" s="5">
        <v>0.15038994565217392</v>
      </c>
      <c r="G22" s="5">
        <v>0.1801073369565219</v>
      </c>
      <c r="H22" s="5">
        <v>3.0452492391304342</v>
      </c>
      <c r="I22" s="5">
        <v>1</v>
      </c>
      <c r="J22" s="5">
        <v>0</v>
      </c>
      <c r="K22" s="5">
        <v>0</v>
      </c>
      <c r="L22" s="5"/>
      <c r="M22" s="5">
        <f t="shared" si="0"/>
        <v>0.1286286654128268</v>
      </c>
      <c r="N22" s="5">
        <f t="shared" si="1"/>
        <v>0.33137665900924468</v>
      </c>
      <c r="O22" s="5">
        <f t="shared" si="2"/>
        <v>0.50482581636070223</v>
      </c>
      <c r="P22" s="5">
        <f t="shared" si="3"/>
        <v>0.20274799359641787</v>
      </c>
      <c r="Q22" s="5">
        <f t="shared" si="4"/>
        <v>15.54946932044418</v>
      </c>
      <c r="R22" s="5">
        <f t="shared" si="5"/>
        <v>1.3122115866441388</v>
      </c>
      <c r="S22" s="5">
        <f t="shared" si="6"/>
        <v>0.4828378667433999</v>
      </c>
      <c r="T22" s="5">
        <f t="shared" si="7"/>
        <v>0</v>
      </c>
      <c r="U22" s="5">
        <f t="shared" si="8"/>
        <v>1.3122115866441388</v>
      </c>
      <c r="W22" s="5">
        <f t="shared" si="9"/>
        <v>0.13037602229195333</v>
      </c>
      <c r="X22" s="5">
        <f t="shared" si="10"/>
        <v>0.1286286654128268</v>
      </c>
      <c r="Y22" s="24">
        <f t="shared" si="11"/>
        <v>0.33005293079394304</v>
      </c>
      <c r="Z22" s="24">
        <f t="shared" si="12"/>
        <v>0.33137665900924468</v>
      </c>
      <c r="AA22" s="5">
        <f t="shared" si="13"/>
        <v>0.15405683501205292</v>
      </c>
      <c r="AB22" s="5">
        <f t="shared" si="14"/>
        <v>0.14503698207971857</v>
      </c>
      <c r="AC22" s="5">
        <f t="shared" si="15"/>
        <v>0.47641364108896322</v>
      </c>
      <c r="AD22" s="24">
        <f t="shared" si="16"/>
        <v>2.8412175271739126E-2</v>
      </c>
      <c r="AE22" s="5">
        <f t="shared" si="17"/>
        <v>0.50482581636070234</v>
      </c>
      <c r="AF22" s="5">
        <f t="shared" si="18"/>
        <v>1.3122115866441388</v>
      </c>
      <c r="AG22" s="5">
        <f t="shared" si="19"/>
        <v>1.3122115866441388</v>
      </c>
      <c r="AH22" s="5">
        <f t="shared" si="20"/>
        <v>0.50482581636070223</v>
      </c>
      <c r="AI22" s="24">
        <f t="shared" si="21"/>
        <v>0</v>
      </c>
      <c r="AJ22" s="24">
        <f t="shared" si="22"/>
        <v>0.33137665900924468</v>
      </c>
      <c r="AK22" s="24">
        <f t="shared" si="23"/>
        <v>0.17344915735145755</v>
      </c>
      <c r="AL22" s="24">
        <f t="shared" si="24"/>
        <v>0.24794267308849663</v>
      </c>
      <c r="AM22" s="24">
        <f t="shared" si="25"/>
        <v>1</v>
      </c>
      <c r="AN22" s="25">
        <f t="shared" si="26"/>
        <v>15.54946932044418</v>
      </c>
      <c r="AO22" s="5">
        <f t="shared" si="27"/>
        <v>4.0331903643027847</v>
      </c>
      <c r="AP22" s="24">
        <f t="shared" si="28"/>
        <v>0.38360204125600778</v>
      </c>
      <c r="AQ22" s="25">
        <f t="shared" si="29"/>
        <v>7.1470505608210146</v>
      </c>
      <c r="AR22" s="25">
        <f t="shared" si="30"/>
        <v>6.6610404818268796</v>
      </c>
      <c r="AS22" s="5"/>
      <c r="AV22" s="1" t="s">
        <v>25</v>
      </c>
      <c r="AX22" s="5">
        <f>$M30</f>
        <v>4.8308799999999999E-2</v>
      </c>
      <c r="AY22" s="5">
        <f>$M31</f>
        <v>0.1286286654128268</v>
      </c>
      <c r="AZ22" s="5">
        <f>$M32</f>
        <v>0.20321717607297188</v>
      </c>
      <c r="BA22" s="5">
        <f>$M33</f>
        <v>0.31862892619568156</v>
      </c>
      <c r="BB22" s="5"/>
      <c r="BD22" s="22">
        <f t="shared" si="31"/>
        <v>50</v>
      </c>
      <c r="BE22" s="22"/>
      <c r="BF22" s="22"/>
      <c r="BG22" s="22"/>
      <c r="BH22" s="22"/>
      <c r="BI22" s="22">
        <v>50</v>
      </c>
      <c r="BO22" s="1">
        <f t="shared" si="32"/>
        <v>0.93648305797521181</v>
      </c>
      <c r="BP22" s="25">
        <f t="shared" si="34"/>
        <v>11.544186800733005</v>
      </c>
      <c r="BQ22" s="25">
        <f t="shared" si="34"/>
        <v>5.5481137151608797</v>
      </c>
      <c r="BR22" s="25">
        <f t="shared" si="34"/>
        <v>2.0642198463781791</v>
      </c>
      <c r="BS22" s="25">
        <f t="shared" si="34"/>
        <v>0.44727489119340375</v>
      </c>
      <c r="BU22" s="5">
        <v>0.1</v>
      </c>
      <c r="BV22" s="5">
        <v>5.4410780977330563E-2</v>
      </c>
      <c r="BW22" s="5">
        <v>1.4418856958992596</v>
      </c>
      <c r="BX22" s="25">
        <v>11.176752886627749</v>
      </c>
      <c r="CA22" s="1">
        <f t="shared" si="33"/>
        <v>50</v>
      </c>
      <c r="CB22" s="22"/>
      <c r="CC22" s="22"/>
      <c r="CD22" s="22"/>
      <c r="CE22" s="22"/>
    </row>
    <row r="23" spans="2:83" x14ac:dyDescent="0.25">
      <c r="B23" s="1">
        <v>6</v>
      </c>
      <c r="C23" s="1" t="s">
        <v>125</v>
      </c>
      <c r="D23" s="1">
        <v>40</v>
      </c>
      <c r="F23" s="5">
        <v>4.9400000000000006E-2</v>
      </c>
      <c r="G23" s="5">
        <v>0.100525</v>
      </c>
      <c r="H23" s="5">
        <v>1.8938139999999997</v>
      </c>
      <c r="I23" s="5">
        <v>1</v>
      </c>
      <c r="J23" s="5">
        <v>0</v>
      </c>
      <c r="K23" s="5">
        <v>0</v>
      </c>
      <c r="L23" s="5"/>
      <c r="M23" s="5">
        <f t="shared" si="0"/>
        <v>8.0848425519492978E-2</v>
      </c>
      <c r="N23" s="5">
        <f t="shared" si="1"/>
        <v>0.32353004947928837</v>
      </c>
      <c r="O23" s="5">
        <f t="shared" si="2"/>
        <v>0.46265868365744733</v>
      </c>
      <c r="P23" s="5">
        <f t="shared" si="3"/>
        <v>0.2426816239597954</v>
      </c>
      <c r="Q23" s="5">
        <f t="shared" si="4"/>
        <v>10.642092236547434</v>
      </c>
      <c r="R23" s="5">
        <f t="shared" si="5"/>
        <v>1.4239544883077646</v>
      </c>
      <c r="S23" s="5">
        <f t="shared" si="6"/>
        <v>0.48834563464136638</v>
      </c>
      <c r="T23" s="5">
        <f t="shared" si="7"/>
        <v>0</v>
      </c>
      <c r="U23" s="5">
        <f t="shared" si="8"/>
        <v>1.4239544883077646</v>
      </c>
      <c r="W23" s="5">
        <f t="shared" si="9"/>
        <v>8.8463531157449982E-2</v>
      </c>
      <c r="X23" s="5">
        <f t="shared" si="10"/>
        <v>8.0848425519492978E-2</v>
      </c>
      <c r="Y23" s="24">
        <f t="shared" si="11"/>
        <v>0.32470071547614998</v>
      </c>
      <c r="Z23" s="24">
        <f t="shared" si="12"/>
        <v>0.32353004947928837</v>
      </c>
      <c r="AA23" s="5">
        <f t="shared" si="13"/>
        <v>0.12709072993775</v>
      </c>
      <c r="AB23" s="5">
        <f t="shared" si="14"/>
        <v>0.100920434178159</v>
      </c>
      <c r="AC23" s="5">
        <f t="shared" si="15"/>
        <v>0.42445048365744736</v>
      </c>
      <c r="AD23" s="24">
        <f t="shared" si="16"/>
        <v>3.8208199999999998E-2</v>
      </c>
      <c r="AE23" s="5">
        <f t="shared" si="17"/>
        <v>0.46265868365744733</v>
      </c>
      <c r="AF23" s="5">
        <f t="shared" si="18"/>
        <v>1.4239544883077646</v>
      </c>
      <c r="AG23" s="5">
        <f t="shared" si="19"/>
        <v>1.4239544883077646</v>
      </c>
      <c r="AH23" s="5">
        <f t="shared" si="20"/>
        <v>0.46265868365744733</v>
      </c>
      <c r="AI23" s="24">
        <f t="shared" si="21"/>
        <v>0</v>
      </c>
      <c r="AJ23" s="24">
        <f t="shared" si="22"/>
        <v>0.32353004947928837</v>
      </c>
      <c r="AK23" s="24">
        <f t="shared" si="23"/>
        <v>0.13912863417815896</v>
      </c>
      <c r="AL23" s="24">
        <f t="shared" si="24"/>
        <v>0.36332727923121849</v>
      </c>
      <c r="AM23" s="24">
        <f t="shared" si="25"/>
        <v>1</v>
      </c>
      <c r="AN23" s="25">
        <f t="shared" si="26"/>
        <v>10.642092236547434</v>
      </c>
      <c r="AO23" s="5">
        <f t="shared" si="27"/>
        <v>2.7523394392954685</v>
      </c>
      <c r="AP23" s="24">
        <f t="shared" si="28"/>
        <v>1.4778577429435278</v>
      </c>
      <c r="AQ23" s="25">
        <f t="shared" si="29"/>
        <v>12.551952202965431</v>
      </c>
      <c r="AR23" s="25">
        <f t="shared" si="30"/>
        <v>13.584611686140914</v>
      </c>
      <c r="AS23" s="5"/>
      <c r="AV23" s="1" t="s">
        <v>85</v>
      </c>
      <c r="AX23" s="5">
        <f>$O30</f>
        <v>0.29524175313664003</v>
      </c>
      <c r="AY23" s="5">
        <f>$O31</f>
        <v>0.50482581636070223</v>
      </c>
      <c r="AZ23" s="5">
        <f>$O32</f>
        <v>0.49675066495624631</v>
      </c>
      <c r="BA23" s="5">
        <f>$O33</f>
        <v>0.53114249045657214</v>
      </c>
      <c r="BB23" s="5"/>
      <c r="BD23" s="22">
        <f t="shared" si="31"/>
        <v>48</v>
      </c>
      <c r="BE23" s="22"/>
      <c r="BF23" s="22"/>
      <c r="BG23" s="22"/>
      <c r="BH23" s="22"/>
      <c r="BI23" s="22">
        <v>48</v>
      </c>
      <c r="BO23" s="1">
        <f t="shared" si="32"/>
        <v>0.8990237356562033</v>
      </c>
      <c r="BP23" s="25">
        <f t="shared" si="34"/>
        <v>7.1308839324565811</v>
      </c>
      <c r="BQ23" s="25">
        <f t="shared" si="34"/>
        <v>3.4085292776126903</v>
      </c>
      <c r="BR23" s="25">
        <f t="shared" si="34"/>
        <v>1.2609985801750192</v>
      </c>
      <c r="BS23" s="25">
        <f t="shared" si="34"/>
        <v>0.27161772540020068</v>
      </c>
      <c r="BU23" s="5">
        <v>0.15</v>
      </c>
      <c r="BV23" s="5">
        <v>8.3737007450988055E-2</v>
      </c>
      <c r="BW23" s="5">
        <v>1.4793537983007889</v>
      </c>
      <c r="BX23" s="25">
        <v>10.677698737280368</v>
      </c>
      <c r="CA23" s="1">
        <f t="shared" si="33"/>
        <v>48</v>
      </c>
      <c r="CB23" s="22"/>
      <c r="CC23" s="22"/>
      <c r="CD23" s="22"/>
      <c r="CE23" s="22"/>
    </row>
    <row r="24" spans="2:83" x14ac:dyDescent="0.25">
      <c r="B24" s="1">
        <v>7</v>
      </c>
      <c r="C24" s="1" t="s">
        <v>126</v>
      </c>
      <c r="D24" s="1">
        <v>39</v>
      </c>
      <c r="F24" s="5">
        <v>0.53223076923076917</v>
      </c>
      <c r="G24" s="5">
        <v>0.26217948717948719</v>
      </c>
      <c r="H24" s="5">
        <v>2.2907097435897432</v>
      </c>
      <c r="I24" s="5">
        <v>1</v>
      </c>
      <c r="J24" s="5">
        <v>0</v>
      </c>
      <c r="K24" s="5">
        <v>0</v>
      </c>
      <c r="L24" s="5"/>
      <c r="M24" s="5">
        <f t="shared" si="0"/>
        <v>0.17086937720990927</v>
      </c>
      <c r="N24" s="5">
        <f t="shared" si="1"/>
        <v>0.28257501414289343</v>
      </c>
      <c r="O24" s="5">
        <f t="shared" si="2"/>
        <v>0.43789899516849484</v>
      </c>
      <c r="P24" s="5">
        <f t="shared" si="3"/>
        <v>0.11170563693298416</v>
      </c>
      <c r="Q24" s="5">
        <f t="shared" si="4"/>
        <v>9.2441720085880394</v>
      </c>
      <c r="R24" s="5">
        <f t="shared" si="5"/>
        <v>1.4895676628034886</v>
      </c>
      <c r="S24" s="5">
        <f t="shared" si="6"/>
        <v>0.40127959224903548</v>
      </c>
      <c r="T24" s="5">
        <f t="shared" si="7"/>
        <v>0</v>
      </c>
      <c r="U24" s="5">
        <f t="shared" si="8"/>
        <v>1.4895676628034886</v>
      </c>
      <c r="W24" s="5">
        <f t="shared" si="9"/>
        <v>0.16742927825430637</v>
      </c>
      <c r="X24" s="5">
        <f t="shared" si="10"/>
        <v>0.17086937720990927</v>
      </c>
      <c r="Y24" s="24">
        <f t="shared" si="11"/>
        <v>0.29590449504047339</v>
      </c>
      <c r="Z24" s="24">
        <f t="shared" si="12"/>
        <v>0.28257501414289343</v>
      </c>
      <c r="AA24" s="5">
        <f t="shared" si="13"/>
        <v>0.16561758291013812</v>
      </c>
      <c r="AB24" s="5">
        <f t="shared" si="14"/>
        <v>0.16395036564098597</v>
      </c>
      <c r="AC24" s="5">
        <f t="shared" si="15"/>
        <v>0.44652537978387941</v>
      </c>
      <c r="AD24" s="24">
        <f t="shared" si="16"/>
        <v>-8.6263846153846122E-3</v>
      </c>
      <c r="AE24" s="5">
        <f t="shared" si="17"/>
        <v>0.43789899516849479</v>
      </c>
      <c r="AF24" s="5">
        <f t="shared" si="18"/>
        <v>1.4895676628034886</v>
      </c>
      <c r="AG24" s="5">
        <f t="shared" si="19"/>
        <v>1.4895676628034886</v>
      </c>
      <c r="AH24" s="5">
        <f t="shared" si="20"/>
        <v>0.43789899516849484</v>
      </c>
      <c r="AI24" s="24">
        <f t="shared" si="21"/>
        <v>0</v>
      </c>
      <c r="AJ24" s="24">
        <f t="shared" si="22"/>
        <v>0.28257501414289343</v>
      </c>
      <c r="AK24" s="24">
        <f t="shared" si="23"/>
        <v>0.15532398102560141</v>
      </c>
      <c r="AL24" s="24">
        <f t="shared" si="24"/>
        <v>0.13180050123611664</v>
      </c>
      <c r="AM24" s="24">
        <f t="shared" si="25"/>
        <v>1</v>
      </c>
      <c r="AN24" s="25">
        <f t="shared" si="26"/>
        <v>9.2441720085880394</v>
      </c>
      <c r="AO24" s="5">
        <f t="shared" si="27"/>
        <v>7.5872245600077806</v>
      </c>
      <c r="AP24" s="24">
        <f t="shared" si="28"/>
        <v>2.2601772984271453E-3</v>
      </c>
      <c r="AQ24" s="25">
        <f t="shared" si="29"/>
        <v>3.747286161552406</v>
      </c>
      <c r="AR24" s="25">
        <f t="shared" si="30"/>
        <v>2.9046858968282274</v>
      </c>
      <c r="AS24" s="5"/>
      <c r="AV24" s="1" t="s">
        <v>86</v>
      </c>
      <c r="AX24" s="24">
        <f>$AP30</f>
        <v>1.941476529475999</v>
      </c>
      <c r="AY24" s="24">
        <f>$AP31</f>
        <v>0.38360204125600778</v>
      </c>
      <c r="AZ24" s="24">
        <f>$AP32</f>
        <v>2.3291034677899374E-2</v>
      </c>
      <c r="BA24" s="24">
        <f>$AP33</f>
        <v>1.1647191365648218E-3</v>
      </c>
      <c r="BB24" s="5"/>
      <c r="BD24" s="22">
        <f t="shared" si="31"/>
        <v>46</v>
      </c>
      <c r="BE24" s="22"/>
      <c r="BF24" s="22"/>
      <c r="BG24" s="22"/>
      <c r="BH24" s="22">
        <f t="shared" ref="BH24:BH41" si="35">$BA$24*(BD24/100)^(-$BA$25)</f>
        <v>16.386591721415723</v>
      </c>
      <c r="BI24" s="22">
        <v>46</v>
      </c>
      <c r="BL24" s="1">
        <f t="shared" ref="BL24:BL32" si="36">AZ$26*(($BI24/100)/AZ$23)^(3+2*AZ$25)</f>
        <v>2.1108489173417109</v>
      </c>
      <c r="BO24" s="1">
        <f t="shared" si="32"/>
        <v>0.86156441333719491</v>
      </c>
      <c r="BP24" s="25">
        <f t="shared" si="34"/>
        <v>4.3153674232388557</v>
      </c>
      <c r="BQ24" s="25">
        <f t="shared" si="34"/>
        <v>2.0510805101370009</v>
      </c>
      <c r="BR24" s="25">
        <f t="shared" si="34"/>
        <v>0.75433178803508183</v>
      </c>
      <c r="BS24" s="25">
        <f t="shared" si="34"/>
        <v>0.16148093356182561</v>
      </c>
      <c r="BU24" s="5">
        <v>0.2</v>
      </c>
      <c r="BV24" s="5">
        <v>0.11462800790875503</v>
      </c>
      <c r="BW24" s="5">
        <v>1.5188211047910039</v>
      </c>
      <c r="BX24" s="25">
        <v>10.166985909890023</v>
      </c>
      <c r="CA24" s="1">
        <f t="shared" si="33"/>
        <v>46</v>
      </c>
      <c r="CB24" s="22"/>
      <c r="CC24" s="22"/>
      <c r="CD24" s="22"/>
      <c r="CE24" s="22"/>
    </row>
    <row r="25" spans="2:83" x14ac:dyDescent="0.25">
      <c r="B25" s="1">
        <v>8</v>
      </c>
      <c r="C25" s="1" t="s">
        <v>127</v>
      </c>
      <c r="D25" s="1">
        <v>130</v>
      </c>
      <c r="F25" s="5">
        <v>0.29117692307692311</v>
      </c>
      <c r="G25" s="5">
        <v>0.3157692307692308</v>
      </c>
      <c r="H25" s="5">
        <v>3.5097987692307693</v>
      </c>
      <c r="I25" s="5">
        <v>1</v>
      </c>
      <c r="J25" s="5">
        <v>0</v>
      </c>
      <c r="K25" s="5">
        <v>0</v>
      </c>
      <c r="L25" s="5"/>
      <c r="M25" s="5">
        <f t="shared" si="0"/>
        <v>0.20321717607297188</v>
      </c>
      <c r="N25" s="5">
        <f t="shared" si="1"/>
        <v>0.35196466578015978</v>
      </c>
      <c r="O25" s="5">
        <f t="shared" si="2"/>
        <v>0.49675066495624631</v>
      </c>
      <c r="P25" s="5">
        <f t="shared" si="3"/>
        <v>0.1487474897071879</v>
      </c>
      <c r="Q25" s="5">
        <f t="shared" si="4"/>
        <v>7.7359772086592011</v>
      </c>
      <c r="R25" s="5">
        <f t="shared" si="5"/>
        <v>1.3336107378659472</v>
      </c>
      <c r="S25" s="5">
        <f t="shared" si="6"/>
        <v>0.46699851192004732</v>
      </c>
      <c r="T25" s="5">
        <f t="shared" si="7"/>
        <v>0</v>
      </c>
      <c r="U25" s="5">
        <f t="shared" si="8"/>
        <v>1.3336107378659472</v>
      </c>
      <c r="W25" s="5">
        <f t="shared" si="9"/>
        <v>0.1958045404148876</v>
      </c>
      <c r="X25" s="5">
        <f t="shared" si="10"/>
        <v>0.20321717607297188</v>
      </c>
      <c r="Y25" s="24">
        <f t="shared" si="11"/>
        <v>0.34386448913781775</v>
      </c>
      <c r="Z25" s="24">
        <f t="shared" si="12"/>
        <v>0.35196466578015978</v>
      </c>
      <c r="AA25" s="5">
        <f t="shared" si="13"/>
        <v>0.14488396131696096</v>
      </c>
      <c r="AB25" s="5">
        <f t="shared" si="14"/>
        <v>0.13003016071454815</v>
      </c>
      <c r="AC25" s="5">
        <f t="shared" si="15"/>
        <v>0.48199482649470793</v>
      </c>
      <c r="AD25" s="24">
        <f t="shared" si="16"/>
        <v>1.4755838461538454E-2</v>
      </c>
      <c r="AE25" s="5">
        <f t="shared" si="17"/>
        <v>0.49675066495624637</v>
      </c>
      <c r="AF25" s="5">
        <f t="shared" si="18"/>
        <v>1.3336107378659472</v>
      </c>
      <c r="AG25" s="5">
        <f t="shared" si="19"/>
        <v>1.3336107378659472</v>
      </c>
      <c r="AH25" s="5">
        <f t="shared" si="20"/>
        <v>0.49675066495624631</v>
      </c>
      <c r="AI25" s="24">
        <f t="shared" si="21"/>
        <v>0</v>
      </c>
      <c r="AJ25" s="24">
        <f t="shared" si="22"/>
        <v>0.35196466578015978</v>
      </c>
      <c r="AK25" s="24">
        <f t="shared" si="23"/>
        <v>0.14478599917608653</v>
      </c>
      <c r="AL25" s="24">
        <f t="shared" si="24"/>
        <v>0.14390801045221607</v>
      </c>
      <c r="AM25" s="24">
        <f t="shared" si="25"/>
        <v>1</v>
      </c>
      <c r="AN25" s="25">
        <f t="shared" si="26"/>
        <v>7.7359772086592011</v>
      </c>
      <c r="AO25" s="5">
        <f t="shared" si="27"/>
        <v>6.9488835045221116</v>
      </c>
      <c r="AP25" s="24">
        <f t="shared" si="28"/>
        <v>2.3291034677899374E-2</v>
      </c>
      <c r="AQ25" s="25">
        <f t="shared" si="29"/>
        <v>4.8304926580320888</v>
      </c>
      <c r="AR25" s="25">
        <f t="shared" si="30"/>
        <v>4.0513201740605016</v>
      </c>
      <c r="AS25" s="5"/>
      <c r="AV25" s="1" t="s">
        <v>87</v>
      </c>
      <c r="AX25" s="5">
        <f>$AO30</f>
        <v>2.1945415807778081</v>
      </c>
      <c r="AY25" s="5">
        <f>$AO31</f>
        <v>4.0331903643027847</v>
      </c>
      <c r="AZ25" s="5">
        <f>$AO32</f>
        <v>6.9488835045221116</v>
      </c>
      <c r="BA25" s="5">
        <f>$AO33</f>
        <v>12.300559692261906</v>
      </c>
      <c r="BB25" s="5"/>
      <c r="BD25" s="22">
        <f t="shared" si="31"/>
        <v>44</v>
      </c>
      <c r="BE25" s="22"/>
      <c r="BF25" s="22"/>
      <c r="BG25" s="22">
        <f t="shared" ref="BG25:BG42" si="37">$AZ$24*(BD25/100)^(-$AZ$25)</f>
        <v>6.9951107839453037</v>
      </c>
      <c r="BH25" s="22">
        <f t="shared" si="35"/>
        <v>28.31084597980394</v>
      </c>
      <c r="BI25" s="22">
        <v>44</v>
      </c>
      <c r="BK25" s="1">
        <f t="shared" ref="BK25:BK36" si="38">AY$26*(($BI25/100)/AY$23)^(3+2*AY$25)</f>
        <v>3.3976270300272464</v>
      </c>
      <c r="BL25" s="1">
        <f t="shared" si="36"/>
        <v>0.99596284133026203</v>
      </c>
      <c r="BO25" s="1">
        <f t="shared" si="32"/>
        <v>0.82410509101818641</v>
      </c>
      <c r="BP25" s="25">
        <f t="shared" si="34"/>
        <v>2.5538453475831608</v>
      </c>
      <c r="BQ25" s="25">
        <f t="shared" si="34"/>
        <v>1.2066782344823672</v>
      </c>
      <c r="BR25" s="25">
        <f t="shared" si="34"/>
        <v>0.44105134367180593</v>
      </c>
      <c r="BS25" s="25">
        <f t="shared" si="34"/>
        <v>9.380888325259186E-2</v>
      </c>
      <c r="BU25" s="5">
        <v>0.25</v>
      </c>
      <c r="BV25" s="5">
        <v>0.14721245377321235</v>
      </c>
      <c r="BW25" s="5">
        <v>1.5604520099960508</v>
      </c>
      <c r="BX25" s="25">
        <v>9.6442010287377826</v>
      </c>
      <c r="CA25" s="1">
        <f t="shared" si="33"/>
        <v>44</v>
      </c>
      <c r="CB25" s="22"/>
      <c r="CC25" s="22"/>
      <c r="CD25" s="22"/>
      <c r="CE25" s="22"/>
    </row>
    <row r="26" spans="2:83" x14ac:dyDescent="0.25">
      <c r="B26" s="1">
        <v>9</v>
      </c>
      <c r="C26" s="1" t="s">
        <v>128</v>
      </c>
      <c r="D26" s="1">
        <v>288</v>
      </c>
      <c r="F26" s="5">
        <v>8.8847222222222244E-2</v>
      </c>
      <c r="G26" s="5">
        <v>0.32191319444444461</v>
      </c>
      <c r="H26" s="5">
        <v>4.056727638888888</v>
      </c>
      <c r="I26" s="5">
        <v>1</v>
      </c>
      <c r="J26" s="5">
        <v>0</v>
      </c>
      <c r="K26" s="5">
        <v>0</v>
      </c>
      <c r="L26" s="5"/>
      <c r="M26" s="5">
        <f t="shared" si="0"/>
        <v>0.20429487852731715</v>
      </c>
      <c r="N26" s="5">
        <f t="shared" si="1"/>
        <v>0.38274250870431764</v>
      </c>
      <c r="O26" s="5">
        <f t="shared" si="2"/>
        <v>0.54643167286482386</v>
      </c>
      <c r="P26" s="5">
        <f t="shared" si="3"/>
        <v>0.17844763017700049</v>
      </c>
      <c r="Q26" s="5">
        <f t="shared" si="4"/>
        <v>11.399879836592914</v>
      </c>
      <c r="R26" s="5">
        <f t="shared" si="5"/>
        <v>1.2019560669082168</v>
      </c>
      <c r="S26" s="5">
        <f t="shared" si="6"/>
        <v>0.51215899835182821</v>
      </c>
      <c r="T26" s="5">
        <f t="shared" si="7"/>
        <v>0</v>
      </c>
      <c r="U26" s="5">
        <f t="shared" si="8"/>
        <v>1.2019560669082168</v>
      </c>
      <c r="W26" s="5">
        <f t="shared" si="9"/>
        <v>0.19674989344501503</v>
      </c>
      <c r="X26" s="5">
        <f t="shared" si="10"/>
        <v>0.20429487852731715</v>
      </c>
      <c r="Y26" s="24">
        <f t="shared" si="11"/>
        <v>0.36392701001336275</v>
      </c>
      <c r="Z26" s="24">
        <f t="shared" si="12"/>
        <v>0.38274250870431764</v>
      </c>
      <c r="AA26" s="5">
        <f t="shared" si="13"/>
        <v>0.14444214224698154</v>
      </c>
      <c r="AB26" s="5">
        <f t="shared" si="14"/>
        <v>0.12930734471606181</v>
      </c>
      <c r="AC26" s="5">
        <f t="shared" si="15"/>
        <v>0.51204985342037945</v>
      </c>
      <c r="AD26" s="24">
        <f t="shared" si="16"/>
        <v>3.4381819444444441E-2</v>
      </c>
      <c r="AE26" s="5">
        <f t="shared" si="17"/>
        <v>0.54643167286482386</v>
      </c>
      <c r="AF26" s="5">
        <f t="shared" si="18"/>
        <v>1.2019560669082168</v>
      </c>
      <c r="AG26" s="5">
        <f t="shared" si="19"/>
        <v>1.2019560669082168</v>
      </c>
      <c r="AH26" s="5">
        <f t="shared" si="20"/>
        <v>0.54643167286482386</v>
      </c>
      <c r="AI26" s="24">
        <f t="shared" si="21"/>
        <v>0</v>
      </c>
      <c r="AJ26" s="24">
        <f t="shared" si="22"/>
        <v>0.38274250870431764</v>
      </c>
      <c r="AK26" s="24">
        <f t="shared" si="23"/>
        <v>0.16368916416050622</v>
      </c>
      <c r="AL26" s="24">
        <f t="shared" si="24"/>
        <v>0.16448657722443336</v>
      </c>
      <c r="AM26" s="24">
        <f t="shared" si="25"/>
        <v>1</v>
      </c>
      <c r="AN26" s="25">
        <f t="shared" si="26"/>
        <v>11.399879836592914</v>
      </c>
      <c r="AO26" s="5">
        <f t="shared" si="27"/>
        <v>6.0795234290488773</v>
      </c>
      <c r="AP26" s="24">
        <f t="shared" si="28"/>
        <v>9.6113732984461853E-2</v>
      </c>
      <c r="AQ26" s="25">
        <f t="shared" si="29"/>
        <v>4.6984496450346391</v>
      </c>
      <c r="AR26" s="25">
        <f t="shared" si="30"/>
        <v>3.9090334164842475</v>
      </c>
      <c r="AS26" s="5"/>
      <c r="AV26" s="1" t="s">
        <v>88</v>
      </c>
      <c r="AX26" s="25">
        <f>$AN30</f>
        <v>9.4557383110166496E-2</v>
      </c>
      <c r="AY26" s="25">
        <f>$AN31</f>
        <v>15.54946932044418</v>
      </c>
      <c r="AZ26" s="25">
        <f>$AN32</f>
        <v>7.7359772086592011</v>
      </c>
      <c r="BA26" s="25">
        <f>$AN33</f>
        <v>2.1032276635456717</v>
      </c>
      <c r="BB26" s="5"/>
      <c r="BD26" s="22">
        <v>42</v>
      </c>
      <c r="BE26" s="22"/>
      <c r="BF26" s="22"/>
      <c r="BG26" s="22">
        <f t="shared" si="37"/>
        <v>9.6646375905348236</v>
      </c>
      <c r="BH26" s="22">
        <f t="shared" si="35"/>
        <v>50.172507163058533</v>
      </c>
      <c r="BI26" s="22">
        <v>42</v>
      </c>
      <c r="BJ26" s="1">
        <f t="shared" ref="BJ26:BJ37" si="39">AX$26*(($BI26/100)/AX$23)^(3+2*AX$25)</f>
        <v>1.2786556378198501</v>
      </c>
      <c r="BK26" s="1">
        <f t="shared" si="38"/>
        <v>2.0304735690487599</v>
      </c>
      <c r="BL26" s="1">
        <f t="shared" si="36"/>
        <v>0.45378592841839871</v>
      </c>
      <c r="BM26" s="1">
        <f t="shared" ref="BM26:BM34" si="40">BA$26*(($BI26/100)/BA$23)^(3+2*BA$25)</f>
        <v>3.2257277287184218E-3</v>
      </c>
      <c r="BO26" s="1">
        <f t="shared" si="32"/>
        <v>0.78664576869917791</v>
      </c>
      <c r="BP26" s="25">
        <f t="shared" si="34"/>
        <v>1.4749294430325441</v>
      </c>
      <c r="BQ26" s="25">
        <f t="shared" si="34"/>
        <v>0.69259699016441734</v>
      </c>
      <c r="BR26" s="25">
        <f t="shared" si="34"/>
        <v>0.25151937731289464</v>
      </c>
      <c r="BS26" s="25">
        <f t="shared" si="34"/>
        <v>5.3136356779577738E-2</v>
      </c>
      <c r="BU26" s="5">
        <v>0.3</v>
      </c>
      <c r="BV26" s="5">
        <v>0.18163352159376231</v>
      </c>
      <c r="BW26" s="5">
        <v>1.6044294407449005</v>
      </c>
      <c r="BX26" s="25">
        <v>9.108910941907757</v>
      </c>
      <c r="CA26" s="1">
        <v>42</v>
      </c>
      <c r="CB26" s="22"/>
      <c r="CC26" s="22"/>
      <c r="CD26" s="22"/>
      <c r="CE26" s="22"/>
    </row>
    <row r="27" spans="2:83" x14ac:dyDescent="0.25">
      <c r="B27" s="1">
        <v>10</v>
      </c>
      <c r="C27" s="1" t="s">
        <v>129</v>
      </c>
      <c r="D27" s="1">
        <v>83</v>
      </c>
      <c r="F27" s="5">
        <v>7.6554216867469896E-2</v>
      </c>
      <c r="G27" s="5">
        <v>0.46515662650602396</v>
      </c>
      <c r="H27" s="5">
        <v>3.5921513253012067</v>
      </c>
      <c r="I27" s="5">
        <v>1</v>
      </c>
      <c r="J27" s="5">
        <v>0</v>
      </c>
      <c r="K27" s="5">
        <v>0</v>
      </c>
      <c r="L27" s="5"/>
      <c r="M27" s="5">
        <f t="shared" si="0"/>
        <v>0.2756264487800571</v>
      </c>
      <c r="N27" s="5">
        <f t="shared" si="1"/>
        <v>0.41237295151276643</v>
      </c>
      <c r="O27" s="5">
        <f t="shared" si="2"/>
        <v>0.54260728043975637</v>
      </c>
      <c r="P27" s="5">
        <f t="shared" si="3"/>
        <v>0.13674650273270933</v>
      </c>
      <c r="Q27" s="5">
        <f t="shared" si="4"/>
        <v>5.2866537980747221</v>
      </c>
      <c r="R27" s="5">
        <f t="shared" si="5"/>
        <v>1.2120907068346454</v>
      </c>
      <c r="S27" s="5">
        <f t="shared" si="6"/>
        <v>0.51121646702434886</v>
      </c>
      <c r="T27" s="5">
        <f t="shared" si="7"/>
        <v>0</v>
      </c>
      <c r="U27" s="5">
        <f t="shared" si="8"/>
        <v>1.2120907068346454</v>
      </c>
      <c r="W27" s="5">
        <f t="shared" si="9"/>
        <v>0.25932144629829573</v>
      </c>
      <c r="X27" s="5">
        <f t="shared" si="10"/>
        <v>0.2756264487800571</v>
      </c>
      <c r="Y27" s="24">
        <f t="shared" si="11"/>
        <v>0.38263499847938448</v>
      </c>
      <c r="Z27" s="24">
        <f t="shared" si="12"/>
        <v>0.41237295151276643</v>
      </c>
      <c r="AA27" s="5">
        <f t="shared" si="13"/>
        <v>0.12326411244690379</v>
      </c>
      <c r="AB27" s="5">
        <f t="shared" si="14"/>
        <v>9.4660087963134604E-2</v>
      </c>
      <c r="AC27" s="5">
        <f t="shared" si="15"/>
        <v>0.50703303947590106</v>
      </c>
      <c r="AD27" s="24">
        <f t="shared" si="16"/>
        <v>3.5574240963855419E-2</v>
      </c>
      <c r="AE27" s="5">
        <f t="shared" si="17"/>
        <v>0.54260728043975648</v>
      </c>
      <c r="AF27" s="5">
        <f t="shared" si="18"/>
        <v>1.2120907068346454</v>
      </c>
      <c r="AG27" s="5">
        <f t="shared" si="19"/>
        <v>1.2120907068346454</v>
      </c>
      <c r="AH27" s="5">
        <f t="shared" si="20"/>
        <v>0.54260728043975637</v>
      </c>
      <c r="AI27" s="24">
        <f t="shared" si="21"/>
        <v>0</v>
      </c>
      <c r="AJ27" s="24">
        <f t="shared" si="22"/>
        <v>0.41237295151276643</v>
      </c>
      <c r="AK27" s="24">
        <f t="shared" si="23"/>
        <v>0.13023432892698994</v>
      </c>
      <c r="AL27" s="24">
        <f t="shared" si="24"/>
        <v>0.10555723678356999</v>
      </c>
      <c r="AM27" s="24">
        <f t="shared" si="25"/>
        <v>1</v>
      </c>
      <c r="AN27" s="25">
        <f t="shared" si="26"/>
        <v>5.2866537980747221</v>
      </c>
      <c r="AO27" s="5">
        <f t="shared" si="27"/>
        <v>9.4735333215510078</v>
      </c>
      <c r="AP27" s="24">
        <f t="shared" si="28"/>
        <v>7.4808777443141558E-3</v>
      </c>
      <c r="AQ27" s="25">
        <f t="shared" si="29"/>
        <v>3.5448868716696218</v>
      </c>
      <c r="AR27" s="25">
        <f t="shared" si="30"/>
        <v>2.6956391138296674</v>
      </c>
      <c r="AS27" s="5"/>
      <c r="AV27" s="1" t="s">
        <v>89</v>
      </c>
      <c r="AX27" s="25">
        <f>$AR30</f>
        <v>30.529778368757942</v>
      </c>
      <c r="AY27" s="25">
        <f>$AR31</f>
        <v>6.6610404818268796</v>
      </c>
      <c r="AZ27" s="25">
        <f>$AR32</f>
        <v>4.0513201740605016</v>
      </c>
      <c r="BA27" s="25">
        <f>$AR33</f>
        <v>2.6826274429663219</v>
      </c>
      <c r="BB27" s="5"/>
      <c r="BD27" s="22">
        <f>BD26-2</f>
        <v>40</v>
      </c>
      <c r="BE27" s="22"/>
      <c r="BF27" s="22">
        <f t="shared" ref="BF27:BF43" si="41">$AY$24*(BD27/100)^(-$AY$25)</f>
        <v>15.447162600450485</v>
      </c>
      <c r="BG27" s="22">
        <f t="shared" si="37"/>
        <v>13.565241943793151</v>
      </c>
      <c r="BH27" s="22">
        <f t="shared" si="35"/>
        <v>91.433646775129048</v>
      </c>
      <c r="BI27" s="22">
        <v>40</v>
      </c>
      <c r="BJ27" s="23">
        <f t="shared" si="39"/>
        <v>0.89162883481131838</v>
      </c>
      <c r="BK27" s="23">
        <f t="shared" si="38"/>
        <v>1.1833371244593118</v>
      </c>
      <c r="BL27" s="23">
        <f t="shared" si="36"/>
        <v>0.19897530808751615</v>
      </c>
      <c r="BM27" s="23">
        <f t="shared" si="40"/>
        <v>8.3903356368484683E-4</v>
      </c>
      <c r="BO27" s="1">
        <f t="shared" si="32"/>
        <v>0.7491864463801694</v>
      </c>
      <c r="BP27" s="25">
        <f t="shared" si="34"/>
        <v>0.82930251304899372</v>
      </c>
      <c r="BQ27" s="25">
        <f t="shared" si="34"/>
        <v>0.38690438868892107</v>
      </c>
      <c r="BR27" s="25">
        <f t="shared" si="34"/>
        <v>0.13955670695577072</v>
      </c>
      <c r="BS27" s="25">
        <f t="shared" si="34"/>
        <v>2.9274760146012425E-2</v>
      </c>
      <c r="BU27" s="5">
        <v>0.35</v>
      </c>
      <c r="BV27" s="5">
        <v>0.21805099627413727</v>
      </c>
      <c r="BW27" s="5">
        <v>1.650957543218468</v>
      </c>
      <c r="BX27" s="25">
        <v>8.5606615243366857</v>
      </c>
      <c r="CA27" s="1">
        <f>CA26-2</f>
        <v>40</v>
      </c>
      <c r="CB27" s="22">
        <f t="shared" ref="CB27:CB43" si="42">$AX$24*(CA27/100)^(-$AX$25)+$AX$23/($BD27/100)*36*$AX$29</f>
        <v>14.502004662177464</v>
      </c>
      <c r="CC27" s="22">
        <f t="shared" ref="CC27:CC43" si="43">$AY$24*(CA27/100)^(-$AY$25)+$AY$23/($BD27/100)*36*$AY$29</f>
        <v>15.447162600450485</v>
      </c>
      <c r="CD27" s="22">
        <f t="shared" ref="CD27:CD43" si="44">$AZ$24*(CA27/100)^(-$AZ$25)+$AZ$23/($BD27/100)*36*$AZ$29</f>
        <v>13.565241943793151</v>
      </c>
      <c r="CE27" s="22">
        <f t="shared" ref="CE27:CE42" si="45">$BA$24*(CA27/100)^(-$BA$25)+$BA$23/($BD27/100)*36*$BA$29</f>
        <v>91.433646775129048</v>
      </c>
    </row>
    <row r="28" spans="2:83" x14ac:dyDescent="0.25">
      <c r="B28" s="1">
        <v>11</v>
      </c>
      <c r="C28" s="1" t="s">
        <v>130</v>
      </c>
      <c r="D28" s="1">
        <v>140</v>
      </c>
      <c r="F28" s="5">
        <v>0.12736428571428574</v>
      </c>
      <c r="G28" s="5">
        <v>0.54555714285714296</v>
      </c>
      <c r="H28" s="5">
        <v>2.88</v>
      </c>
      <c r="I28" s="5">
        <v>1</v>
      </c>
      <c r="J28" s="5">
        <v>0</v>
      </c>
      <c r="K28" s="5">
        <v>0</v>
      </c>
      <c r="L28" s="5"/>
      <c r="M28" s="5">
        <f t="shared" si="0"/>
        <v>0.31862892619568156</v>
      </c>
      <c r="N28" s="5">
        <f t="shared" si="1"/>
        <v>0.43455169849824726</v>
      </c>
      <c r="O28" s="5">
        <f t="shared" si="2"/>
        <v>0.53114249045657214</v>
      </c>
      <c r="P28" s="5">
        <f t="shared" si="3"/>
        <v>0.1159227723025657</v>
      </c>
      <c r="Q28" s="5">
        <f t="shared" si="4"/>
        <v>2.1032276635456717</v>
      </c>
      <c r="R28" s="5">
        <f t="shared" si="5"/>
        <v>1.2424724002900838</v>
      </c>
      <c r="S28" s="5">
        <f t="shared" si="6"/>
        <v>0.50782942765707106</v>
      </c>
      <c r="T28" s="5">
        <f t="shared" si="7"/>
        <v>0</v>
      </c>
      <c r="U28" s="5">
        <f t="shared" si="8"/>
        <v>1.2424724002900838</v>
      </c>
      <c r="W28" s="5">
        <f t="shared" si="9"/>
        <v>0.29704291771551017</v>
      </c>
      <c r="X28" s="5">
        <f t="shared" si="10"/>
        <v>0.31862892619568156</v>
      </c>
      <c r="Y28" s="24">
        <f t="shared" si="11"/>
        <v>0.39628053068040814</v>
      </c>
      <c r="Z28" s="24">
        <f t="shared" si="12"/>
        <v>0.43455169849824726</v>
      </c>
      <c r="AA28" s="5">
        <f t="shared" si="13"/>
        <v>0.10571218072897959</v>
      </c>
      <c r="AB28" s="5">
        <f t="shared" si="14"/>
        <v>6.5945127672610612E-2</v>
      </c>
      <c r="AC28" s="5">
        <f t="shared" si="15"/>
        <v>0.50049682617085789</v>
      </c>
      <c r="AD28" s="24">
        <f t="shared" si="16"/>
        <v>3.0645664285714282E-2</v>
      </c>
      <c r="AE28" s="5">
        <f t="shared" si="17"/>
        <v>0.53114249045657214</v>
      </c>
      <c r="AF28" s="5">
        <f t="shared" si="18"/>
        <v>1.2424724002900838</v>
      </c>
      <c r="AG28" s="5">
        <f t="shared" si="19"/>
        <v>1.2424724002900838</v>
      </c>
      <c r="AH28" s="5">
        <f t="shared" si="20"/>
        <v>0.53114249045657214</v>
      </c>
      <c r="AI28" s="24">
        <f t="shared" si="21"/>
        <v>0</v>
      </c>
      <c r="AJ28" s="24">
        <f t="shared" si="22"/>
        <v>0.43455169849824726</v>
      </c>
      <c r="AK28" s="24">
        <f t="shared" si="23"/>
        <v>9.6590791958324873E-2</v>
      </c>
      <c r="AL28" s="24">
        <f t="shared" si="24"/>
        <v>8.1297113710125296E-2</v>
      </c>
      <c r="AM28" s="24">
        <f t="shared" si="25"/>
        <v>1</v>
      </c>
      <c r="AN28" s="25">
        <f t="shared" si="26"/>
        <v>2.1032276635456717</v>
      </c>
      <c r="AO28" s="5">
        <f t="shared" si="27"/>
        <v>12.300559692261906</v>
      </c>
      <c r="AP28" s="24">
        <f t="shared" si="28"/>
        <v>1.1647191365648218E-3</v>
      </c>
      <c r="AQ28" s="25">
        <f t="shared" si="29"/>
        <v>3.5322362798554465</v>
      </c>
      <c r="AR28" s="25">
        <f t="shared" si="30"/>
        <v>2.6826274429663219</v>
      </c>
      <c r="AS28" s="5"/>
      <c r="AU28" s="5"/>
      <c r="AV28" s="5" t="s">
        <v>90</v>
      </c>
      <c r="AW28" s="5"/>
      <c r="AX28" s="5">
        <f>AX21-AX22</f>
        <v>0.22669867938508803</v>
      </c>
      <c r="AY28" s="5">
        <f>AY21-AY22</f>
        <v>0.20274799359641787</v>
      </c>
      <c r="AZ28" s="5">
        <f>AZ21-AZ22</f>
        <v>0.1487474897071879</v>
      </c>
      <c r="BA28" s="5">
        <f>BA21-BA22</f>
        <v>0.1159227723025657</v>
      </c>
      <c r="BB28" s="5"/>
      <c r="BD28" s="22">
        <f>BD27-2</f>
        <v>38</v>
      </c>
      <c r="BE28" s="22">
        <f t="shared" ref="BE28:BE44" si="46">$AX$24*(BD28/100)^(-$AX$25)</f>
        <v>16.229850331793806</v>
      </c>
      <c r="BF28" s="22">
        <f t="shared" si="41"/>
        <v>18.997377754084948</v>
      </c>
      <c r="BG28" s="22">
        <f t="shared" si="37"/>
        <v>19.374192735367856</v>
      </c>
      <c r="BH28" s="22">
        <f t="shared" si="35"/>
        <v>171.83758660439585</v>
      </c>
      <c r="BI28" s="22">
        <v>38</v>
      </c>
      <c r="BJ28" s="23">
        <f t="shared" si="39"/>
        <v>0.61035424837874575</v>
      </c>
      <c r="BK28" s="23">
        <f t="shared" si="38"/>
        <v>0.67079439421390841</v>
      </c>
      <c r="BL28" s="23">
        <f t="shared" si="36"/>
        <v>8.3633035153624344E-2</v>
      </c>
      <c r="BM28" s="23">
        <f t="shared" si="40"/>
        <v>2.0366945641792504E-4</v>
      </c>
      <c r="BO28" s="1">
        <f t="shared" si="32"/>
        <v>0.7117271240611609</v>
      </c>
      <c r="BP28" s="25">
        <f t="shared" si="34"/>
        <v>0.45271588181167832</v>
      </c>
      <c r="BQ28" s="25">
        <f t="shared" si="34"/>
        <v>0.20977470317076707</v>
      </c>
      <c r="BR28" s="25">
        <f t="shared" si="34"/>
        <v>7.5128609669685514E-2</v>
      </c>
      <c r="BS28" s="25">
        <f t="shared" si="34"/>
        <v>1.5642724394539453E-2</v>
      </c>
      <c r="BU28" s="5">
        <v>0.4</v>
      </c>
      <c r="BV28" s="5">
        <v>0.2566437511884162</v>
      </c>
      <c r="BW28" s="5">
        <v>1.700264851623257</v>
      </c>
      <c r="BX28" s="25">
        <v>7.998976392864062</v>
      </c>
      <c r="CA28" s="1">
        <f>CA27-2</f>
        <v>38</v>
      </c>
      <c r="CB28" s="22">
        <f t="shared" si="42"/>
        <v>16.229850331793806</v>
      </c>
      <c r="CC28" s="22">
        <f t="shared" si="43"/>
        <v>18.997377754084948</v>
      </c>
      <c r="CD28" s="22">
        <f t="shared" si="44"/>
        <v>19.374192735367856</v>
      </c>
      <c r="CE28" s="22">
        <f t="shared" si="45"/>
        <v>171.83758660439585</v>
      </c>
    </row>
    <row r="29" spans="2:83" ht="15.6" x14ac:dyDescent="0.3">
      <c r="B29" s="9" t="s">
        <v>92</v>
      </c>
      <c r="I29" s="5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W29" s="5"/>
      <c r="X29" s="5"/>
      <c r="Y29" s="24"/>
      <c r="Z29" s="24"/>
      <c r="AA29" s="5"/>
      <c r="AB29" s="5"/>
      <c r="AC29" s="5"/>
      <c r="AD29" s="24"/>
      <c r="AE29" s="5"/>
      <c r="AF29" s="5"/>
      <c r="AG29" s="5"/>
      <c r="AH29" s="5"/>
      <c r="AI29" s="24"/>
      <c r="AJ29" s="24"/>
      <c r="AK29" s="24"/>
      <c r="AL29" s="24"/>
      <c r="AM29" s="24"/>
      <c r="AN29" s="25"/>
      <c r="AO29" s="5"/>
      <c r="AP29" s="24"/>
      <c r="AQ29" s="25"/>
      <c r="AR29" s="25"/>
      <c r="AS29" s="5"/>
      <c r="AV29" s="1" t="s">
        <v>91</v>
      </c>
      <c r="AX29" s="5">
        <f>K30</f>
        <v>0</v>
      </c>
      <c r="AY29" s="5">
        <f>K31</f>
        <v>0</v>
      </c>
      <c r="AZ29" s="5">
        <f>K32</f>
        <v>0</v>
      </c>
      <c r="BA29" s="5">
        <f>K33</f>
        <v>0</v>
      </c>
      <c r="BB29" s="5"/>
      <c r="BD29" s="22">
        <f>BD28-2</f>
        <v>36</v>
      </c>
      <c r="BE29" s="22">
        <f t="shared" si="46"/>
        <v>18.274468559432222</v>
      </c>
      <c r="BF29" s="22">
        <f t="shared" si="41"/>
        <v>23.626391061366206</v>
      </c>
      <c r="BG29" s="22">
        <f t="shared" si="37"/>
        <v>28.209215945160793</v>
      </c>
      <c r="BH29" s="22">
        <f t="shared" si="35"/>
        <v>334.15563229948543</v>
      </c>
      <c r="BI29" s="22">
        <v>36</v>
      </c>
      <c r="BJ29" s="23">
        <f t="shared" si="39"/>
        <v>0.40933436048861699</v>
      </c>
      <c r="BK29" s="23">
        <f t="shared" si="38"/>
        <v>0.36875564556106322</v>
      </c>
      <c r="BL29" s="23">
        <f t="shared" si="36"/>
        <v>3.3542835428103039E-2</v>
      </c>
      <c r="BM29" s="23">
        <f t="shared" si="40"/>
        <v>4.5795349147787075E-5</v>
      </c>
      <c r="BO29" s="1">
        <f t="shared" si="32"/>
        <v>0.6742678017421524</v>
      </c>
      <c r="BP29" s="25">
        <f t="shared" si="34"/>
        <v>0.2391782097609618</v>
      </c>
      <c r="BQ29" s="25">
        <f t="shared" si="34"/>
        <v>0.11003363297820933</v>
      </c>
      <c r="BR29" s="25">
        <f t="shared" si="34"/>
        <v>3.9112493268458191E-2</v>
      </c>
      <c r="BS29" s="25">
        <f t="shared" si="34"/>
        <v>8.0800113853484665E-3</v>
      </c>
      <c r="BU29" s="5">
        <v>0.45</v>
      </c>
      <c r="BV29" s="5">
        <v>0.29761268640397059</v>
      </c>
      <c r="BW29" s="5">
        <v>1.7526080421567158</v>
      </c>
      <c r="BX29" s="25">
        <v>7.4233555256411936</v>
      </c>
      <c r="CA29" s="1">
        <f>CA28-2</f>
        <v>36</v>
      </c>
      <c r="CB29" s="22">
        <f t="shared" si="42"/>
        <v>18.274468559432222</v>
      </c>
      <c r="CC29" s="22">
        <f t="shared" si="43"/>
        <v>23.626391061366206</v>
      </c>
      <c r="CD29" s="22">
        <f t="shared" si="44"/>
        <v>28.209215945160793</v>
      </c>
      <c r="CE29" s="22">
        <f t="shared" si="45"/>
        <v>334.15563229948543</v>
      </c>
    </row>
    <row r="30" spans="2:83" x14ac:dyDescent="0.25">
      <c r="B30" s="1">
        <v>3</v>
      </c>
      <c r="F30" s="5">
        <v>0.05</v>
      </c>
      <c r="G30" s="5">
        <v>0.05</v>
      </c>
      <c r="H30" s="5">
        <v>1</v>
      </c>
      <c r="I30" s="5">
        <v>1.2</v>
      </c>
      <c r="J30" s="5">
        <v>0</v>
      </c>
      <c r="K30" s="5">
        <v>0</v>
      </c>
      <c r="L30" s="5"/>
      <c r="M30" s="5">
        <f>X30</f>
        <v>4.8308799999999999E-2</v>
      </c>
      <c r="N30" s="5">
        <f>AJ30</f>
        <v>0.27500747938508802</v>
      </c>
      <c r="O30" s="5">
        <f>AH30</f>
        <v>0.29524175313664003</v>
      </c>
      <c r="P30" s="5">
        <f>(N30-M30)*(1-T30)</f>
        <v>0.22669867938508803</v>
      </c>
      <c r="Q30" s="5">
        <f>AN30</f>
        <v>9.4557383110166496E-2</v>
      </c>
      <c r="R30" s="5">
        <f>AG30</f>
        <v>1.8676093541879037</v>
      </c>
      <c r="S30" s="5">
        <f>N30-(S$16-33)*(O30-N30)/(33-AR30)</f>
        <v>0.46340688873350877</v>
      </c>
      <c r="T30" s="5">
        <f>((R30/2.65)*J30)/(1-J30*(1-R30/2.65))</f>
        <v>0</v>
      </c>
      <c r="U30" s="5">
        <f>T30*2.65+(1-T30)*R30</f>
        <v>1.8676093541879037</v>
      </c>
      <c r="W30" s="5">
        <f>-0.024*F30+0.487*G30+0.006*H30+0.005*F30*H30-0.013*G30*H30+0.068*F30*G30+0.031</f>
        <v>5.9920000000000001E-2</v>
      </c>
      <c r="X30" s="5">
        <f>W30+0.14*W30-0.02</f>
        <v>4.8308799999999999E-2</v>
      </c>
      <c r="Y30" s="24">
        <f>-0.251*F30+0.195*G30+0.011*H30+0.006*F30*H30-0.027*G30*H30+0.452*F30*G30+0.299</f>
        <v>0.30728</v>
      </c>
      <c r="Z30" s="24">
        <f>Y30+(1.283*Y30*Y30-0.374*Y30-0.015)</f>
        <v>0.2984994209472</v>
      </c>
      <c r="AA30" s="5">
        <f>0.278*F30+0.034*G30+0.022*H30-0.018*F30*H30-0.027*G30*H30-0.584*F30*G30+0.078</f>
        <v>0.11189</v>
      </c>
      <c r="AB30" s="5">
        <f>AA30+(0.636*AA30-0.107)</f>
        <v>7.6052040000000015E-2</v>
      </c>
      <c r="AC30" s="5">
        <f>AB30+Z30</f>
        <v>0.37455146094720004</v>
      </c>
      <c r="AD30" s="24">
        <f>-0.097*F30+0.043</f>
        <v>3.8149999999999996E-2</v>
      </c>
      <c r="AE30" s="5">
        <f>AC30+AD30</f>
        <v>0.41270146094720006</v>
      </c>
      <c r="AF30" s="5">
        <f>(1-AE30)*2.65</f>
        <v>1.5563411284899198</v>
      </c>
      <c r="AG30" s="5">
        <f>AF30*(I30)</f>
        <v>1.8676093541879037</v>
      </c>
      <c r="AH30" s="5">
        <f>1-(AG30/2.65)</f>
        <v>0.29524175313664003</v>
      </c>
      <c r="AI30" s="24">
        <f>(1-AG30/2.65)-(1-AF30/2.65)</f>
        <v>-0.11745970781056003</v>
      </c>
      <c r="AJ30" s="24">
        <f>Z30+0.2*AI30</f>
        <v>0.27500747938508802</v>
      </c>
      <c r="AK30" s="24">
        <f>AH30-AJ30</f>
        <v>2.0234273751552012E-2</v>
      </c>
      <c r="AL30" s="24">
        <f xml:space="preserve"> (LN(AJ30)-LN(X30))/(LN(1500)-LN(33))</f>
        <v>0.45567603218781183</v>
      </c>
      <c r="AM30" s="24">
        <f>(1-J30)/(1-J30*(1-1.5*(R30/2.65)))</f>
        <v>1</v>
      </c>
      <c r="AN30" s="25">
        <f>1930*(AK30)^(3-AL30)*AM30</f>
        <v>9.4557383110166496E-2</v>
      </c>
      <c r="AO30" s="5">
        <f>(LN(1500)-LN(33))/(LN(AJ30)-LN(X30))</f>
        <v>2.1945415807778081</v>
      </c>
      <c r="AP30" s="24">
        <f>EXP(LN(33)+(AO30*LN(AJ30)))</f>
        <v>1.941476529475999</v>
      </c>
      <c r="AQ30" s="25">
        <f>-21.674*$F30-27.932*$G30-81.975*$AK30+71.121*$F30*$AK30+8.294*$G30*$AK30+14.05*$F30*$G30+27.161</f>
        <v>23.137465651715502</v>
      </c>
      <c r="AR30" s="25">
        <f>AQ30+(0.02*AQ30^2-0.113*AQ30-0.7)</f>
        <v>30.529778368757942</v>
      </c>
      <c r="AS30" s="5"/>
      <c r="AU30" s="5"/>
      <c r="AV30" s="1" t="s">
        <v>93</v>
      </c>
      <c r="AW30" s="5"/>
      <c r="AX30" s="5">
        <f>(1-AX23)*2.65</f>
        <v>1.867609354187904</v>
      </c>
      <c r="AY30" s="5">
        <f>(1-AY23)*2.65</f>
        <v>1.3122115866441391</v>
      </c>
      <c r="AZ30" s="5">
        <f>(1-AZ23)*2.65</f>
        <v>1.3336107378659472</v>
      </c>
      <c r="BA30" s="5">
        <f>(1-BA23)*2.65</f>
        <v>1.2424724002900838</v>
      </c>
      <c r="BB30" s="5"/>
      <c r="BD30" s="22">
        <v>34</v>
      </c>
      <c r="BE30" s="22">
        <f t="shared" si="46"/>
        <v>20.716726985240378</v>
      </c>
      <c r="BF30" s="22">
        <f t="shared" si="41"/>
        <v>29.751963103559824</v>
      </c>
      <c r="BG30" s="22">
        <f t="shared" si="37"/>
        <v>41.964998013490018</v>
      </c>
      <c r="BH30" s="22">
        <f t="shared" si="35"/>
        <v>674.98288214821912</v>
      </c>
      <c r="BI30" s="22">
        <v>34</v>
      </c>
      <c r="BJ30" s="23">
        <f t="shared" si="39"/>
        <v>0.2683210083623947</v>
      </c>
      <c r="BK30" s="23">
        <f t="shared" si="38"/>
        <v>0.19589865283684277</v>
      </c>
      <c r="BL30" s="23">
        <f t="shared" si="36"/>
        <v>1.2768404638932791E-2</v>
      </c>
      <c r="BM30" s="23">
        <f t="shared" si="40"/>
        <v>9.455024891601323E-6</v>
      </c>
      <c r="BO30" s="1">
        <f t="shared" si="32"/>
        <v>0.636808479423144</v>
      </c>
      <c r="BP30" s="25">
        <f t="shared" si="34"/>
        <v>0.12183570482790193</v>
      </c>
      <c r="BQ30" s="25">
        <f t="shared" si="34"/>
        <v>5.5625803228133368E-2</v>
      </c>
      <c r="BR30" s="25">
        <f t="shared" si="34"/>
        <v>1.9616324959359152E-2</v>
      </c>
      <c r="BS30" s="25">
        <f t="shared" si="34"/>
        <v>4.0189125403382545E-3</v>
      </c>
      <c r="BU30" s="5">
        <v>0.5</v>
      </c>
      <c r="BV30" s="5">
        <v>0.34118422686778971</v>
      </c>
      <c r="BW30" s="5">
        <v>1.8082764023992852</v>
      </c>
      <c r="BX30" s="25">
        <v>6.8332737774896826</v>
      </c>
      <c r="CA30" s="1">
        <v>34</v>
      </c>
      <c r="CB30" s="22">
        <f t="shared" si="42"/>
        <v>20.716726985240378</v>
      </c>
      <c r="CC30" s="22">
        <f t="shared" si="43"/>
        <v>29.751963103559824</v>
      </c>
      <c r="CD30" s="22">
        <f t="shared" si="44"/>
        <v>41.964998013490018</v>
      </c>
      <c r="CE30" s="22">
        <f t="shared" si="45"/>
        <v>674.98288214821912</v>
      </c>
    </row>
    <row r="31" spans="2:83" x14ac:dyDescent="0.25">
      <c r="B31" s="1">
        <v>5</v>
      </c>
      <c r="F31" s="5">
        <v>0.15038994565217392</v>
      </c>
      <c r="G31" s="5">
        <v>0.1801073369565219</v>
      </c>
      <c r="H31" s="5">
        <v>3.0452492391304342</v>
      </c>
      <c r="I31" s="5">
        <v>1</v>
      </c>
      <c r="J31" s="5">
        <v>0</v>
      </c>
      <c r="K31" s="5">
        <v>0</v>
      </c>
      <c r="M31" s="5">
        <f>X31</f>
        <v>0.1286286654128268</v>
      </c>
      <c r="N31" s="5">
        <f>AJ31</f>
        <v>0.33137665900924468</v>
      </c>
      <c r="O31" s="5">
        <f>AH31</f>
        <v>0.50482581636070223</v>
      </c>
      <c r="P31" s="5">
        <f>(N31-M31)*(1-T31)</f>
        <v>0.20274799359641787</v>
      </c>
      <c r="Q31" s="5">
        <f>AN31</f>
        <v>15.54946932044418</v>
      </c>
      <c r="R31" s="5">
        <f>AG31</f>
        <v>1.3122115866441388</v>
      </c>
      <c r="S31" s="5">
        <f>N31-(S$16-33)*(O31-N31)/(33-AR31)</f>
        <v>0.4828378667433999</v>
      </c>
      <c r="T31" s="5">
        <f>((R31/2.65)*J31)/(1-J31*(1-R31/2.65))</f>
        <v>0</v>
      </c>
      <c r="U31" s="5">
        <f>T31*2.65+(1-T31)*R31</f>
        <v>1.3122115866441388</v>
      </c>
      <c r="W31" s="5">
        <f>-0.024*F31+0.487*G31+0.006*H31+0.005*F31*H31-0.013*G31*H31+0.068*F31*G31+0.031</f>
        <v>0.13037602229195333</v>
      </c>
      <c r="X31" s="5">
        <f>W31+0.14*W31-0.02</f>
        <v>0.1286286654128268</v>
      </c>
      <c r="Y31" s="24">
        <f>-0.251*F31+0.195*G31+0.011*H31+0.006*F31*H31-0.027*G31*H31+0.452*F31*G31+0.299</f>
        <v>0.33005293079394304</v>
      </c>
      <c r="Z31" s="24">
        <f>Y31+(1.283*Y31*Y31-0.374*Y31-0.015)</f>
        <v>0.33137665900924468</v>
      </c>
      <c r="AA31" s="5">
        <f>0.278*F31+0.034*G31+0.022*H31-0.018*F31*H31-0.027*G31*H31-0.584*F31*G31+0.078</f>
        <v>0.15405683501205292</v>
      </c>
      <c r="AB31" s="5">
        <f>AA31+(0.636*AA31-0.107)</f>
        <v>0.14503698207971857</v>
      </c>
      <c r="AC31" s="5">
        <f>AB31+Z31</f>
        <v>0.47641364108896322</v>
      </c>
      <c r="AD31" s="24">
        <f>-0.097*F31+0.043</f>
        <v>2.8412175271739126E-2</v>
      </c>
      <c r="AE31" s="5">
        <f>AC31+AD31</f>
        <v>0.50482581636070234</v>
      </c>
      <c r="AF31" s="5">
        <f>(1-AE31)*2.65</f>
        <v>1.3122115866441388</v>
      </c>
      <c r="AG31" s="5">
        <f>AF31*(I31)</f>
        <v>1.3122115866441388</v>
      </c>
      <c r="AH31" s="5">
        <f>1-(AG31/2.65)</f>
        <v>0.50482581636070223</v>
      </c>
      <c r="AI31" s="24">
        <f>(1-AG31/2.65)-(1-AF31/2.65)</f>
        <v>0</v>
      </c>
      <c r="AJ31" s="24">
        <f>Z31+0.2*AI31</f>
        <v>0.33137665900924468</v>
      </c>
      <c r="AK31" s="24">
        <f>AH31-AJ31</f>
        <v>0.17344915735145755</v>
      </c>
      <c r="AL31" s="24">
        <f xml:space="preserve"> (LN(AJ31)-LN(X31))/(LN(1500)-LN(33))</f>
        <v>0.24794267308849663</v>
      </c>
      <c r="AM31" s="24">
        <f>(1-J31)/(1-J31*(1-1.5*(R31/2.65)))</f>
        <v>1</v>
      </c>
      <c r="AN31" s="25">
        <f>1930*(AK31)^(3-AL31)*AM31</f>
        <v>15.54946932044418</v>
      </c>
      <c r="AO31" s="5">
        <f>(LN(1500)-LN(33))/(LN(AJ31)-LN(X31))</f>
        <v>4.0331903643027847</v>
      </c>
      <c r="AP31" s="24">
        <f>EXP(LN(33)+(AO31*LN(AJ31)))</f>
        <v>0.38360204125600778</v>
      </c>
      <c r="AQ31" s="25">
        <f>-21.674*$F31-27.932*$G31-81.975*$AK31+71.121*$F31*$AK31+8.294*$G31*$AK31+14.05*$F31*$G31+27.161</f>
        <v>7.1470505608210146</v>
      </c>
      <c r="AR31" s="25">
        <f>AQ31+(0.02*AQ31^2-0.113*AQ31-0.7)</f>
        <v>6.6610404818268796</v>
      </c>
      <c r="AS31" s="5"/>
      <c r="AV31" s="1" t="s">
        <v>94</v>
      </c>
      <c r="AX31" s="5">
        <f>AX30/2.65</f>
        <v>0.70475824686335997</v>
      </c>
      <c r="AY31" s="5">
        <f>AY30/2.65</f>
        <v>0.49517418363929777</v>
      </c>
      <c r="AZ31" s="5">
        <f>AZ30/2.65</f>
        <v>0.50324933504375369</v>
      </c>
      <c r="BA31" s="5">
        <f>BA30/2.65</f>
        <v>0.46885750954342786</v>
      </c>
      <c r="BB31" s="5"/>
      <c r="BD31" s="22">
        <v>32</v>
      </c>
      <c r="BE31" s="22">
        <f t="shared" si="46"/>
        <v>23.664704921007893</v>
      </c>
      <c r="BF31" s="22">
        <f t="shared" si="41"/>
        <v>37.993145316178371</v>
      </c>
      <c r="BG31" s="22">
        <f t="shared" si="37"/>
        <v>63.95049859967763</v>
      </c>
      <c r="BH31" s="22">
        <f t="shared" si="35"/>
        <v>1422.8314017845553</v>
      </c>
      <c r="BI31" s="22">
        <v>32</v>
      </c>
      <c r="BJ31" s="23">
        <f t="shared" si="39"/>
        <v>0.17143834264987651</v>
      </c>
      <c r="BK31" s="23">
        <f t="shared" si="38"/>
        <v>0.10015332898891266</v>
      </c>
      <c r="BL31" s="23">
        <f t="shared" si="36"/>
        <v>4.5839129872142859E-3</v>
      </c>
      <c r="BM31" s="23">
        <f t="shared" si="40"/>
        <v>1.7740035949463395E-6</v>
      </c>
      <c r="BO31" s="1">
        <f t="shared" si="32"/>
        <v>0.5993491571041355</v>
      </c>
      <c r="BP31" s="25">
        <f t="shared" si="34"/>
        <v>5.957480332055156E-2</v>
      </c>
      <c r="BQ31" s="25">
        <f t="shared" si="34"/>
        <v>2.698124329674214E-2</v>
      </c>
      <c r="BR31" s="25">
        <f t="shared" si="34"/>
        <v>9.4350776108034426E-3</v>
      </c>
      <c r="BS31" s="25">
        <f t="shared" si="34"/>
        <v>1.9160735343759356E-3</v>
      </c>
      <c r="BU31" s="5">
        <v>0.55000000000000004</v>
      </c>
      <c r="BV31" s="5">
        <v>0.38761450914396078</v>
      </c>
      <c r="BW31" s="5">
        <v>1.8675971804209017</v>
      </c>
      <c r="BX31" s="25">
        <v>6.2281792819440156</v>
      </c>
      <c r="CA31" s="1">
        <v>32</v>
      </c>
      <c r="CB31" s="22">
        <f t="shared" si="42"/>
        <v>23.664704921007893</v>
      </c>
      <c r="CC31" s="22">
        <f t="shared" si="43"/>
        <v>37.993145316178371</v>
      </c>
      <c r="CD31" s="22">
        <f t="shared" si="44"/>
        <v>63.95049859967763</v>
      </c>
      <c r="CE31" s="22">
        <f t="shared" si="45"/>
        <v>1422.8314017845553</v>
      </c>
    </row>
    <row r="32" spans="2:83" x14ac:dyDescent="0.25">
      <c r="B32" s="1">
        <v>8</v>
      </c>
      <c r="F32" s="5">
        <v>0.29117692307692311</v>
      </c>
      <c r="G32" s="5">
        <v>0.3157692307692308</v>
      </c>
      <c r="H32" s="5">
        <v>3.5097987692307693</v>
      </c>
      <c r="I32" s="5">
        <v>1</v>
      </c>
      <c r="J32" s="5">
        <v>0</v>
      </c>
      <c r="K32" s="5">
        <v>0</v>
      </c>
      <c r="M32" s="5">
        <f>X32</f>
        <v>0.20321717607297188</v>
      </c>
      <c r="N32" s="5">
        <f>AJ32</f>
        <v>0.35196466578015978</v>
      </c>
      <c r="O32" s="5">
        <f>AH32</f>
        <v>0.49675066495624631</v>
      </c>
      <c r="P32" s="5">
        <f>(N32-M32)*(1-T32)</f>
        <v>0.1487474897071879</v>
      </c>
      <c r="Q32" s="5">
        <f>AN32</f>
        <v>7.7359772086592011</v>
      </c>
      <c r="R32" s="5">
        <f>AG32</f>
        <v>1.3336107378659472</v>
      </c>
      <c r="S32" s="5">
        <f>N32-(S$16-33)*(O32-N32)/(33-AR32)</f>
        <v>0.46699851192004732</v>
      </c>
      <c r="T32" s="5">
        <f>((R32/2.65)*J32)/(1-J32*(1-R32/2.65))</f>
        <v>0</v>
      </c>
      <c r="U32" s="5">
        <f>T32*2.65+(1-T32)*R32</f>
        <v>1.3336107378659472</v>
      </c>
      <c r="W32" s="5">
        <f>-0.024*F32+0.487*G32+0.006*H32+0.005*F32*H32-0.013*G32*H32+0.068*F32*G32+0.031</f>
        <v>0.1958045404148876</v>
      </c>
      <c r="X32" s="5">
        <f>W32+0.14*W32-0.02</f>
        <v>0.20321717607297188</v>
      </c>
      <c r="Y32" s="24">
        <f>-0.251*F32+0.195*G32+0.011*H32+0.006*F32*H32-0.027*G32*H32+0.452*F32*G32+0.299</f>
        <v>0.34386448913781775</v>
      </c>
      <c r="Z32" s="24">
        <f>Y32+(1.283*Y32*Y32-0.374*Y32-0.015)</f>
        <v>0.35196466578015978</v>
      </c>
      <c r="AA32" s="5">
        <f>0.278*F32+0.034*G32+0.022*H32-0.018*F32*H32-0.027*G32*H32-0.584*F32*G32+0.078</f>
        <v>0.14488396131696096</v>
      </c>
      <c r="AB32" s="5">
        <f>AA32+(0.636*AA32-0.107)</f>
        <v>0.13003016071454815</v>
      </c>
      <c r="AC32" s="5">
        <f>AB32+Z32</f>
        <v>0.48199482649470793</v>
      </c>
      <c r="AD32" s="24">
        <f>-0.097*F32+0.043</f>
        <v>1.4755838461538454E-2</v>
      </c>
      <c r="AE32" s="5">
        <f>AC32+AD32</f>
        <v>0.49675066495624637</v>
      </c>
      <c r="AF32" s="5">
        <f>(1-AE32)*2.65</f>
        <v>1.3336107378659472</v>
      </c>
      <c r="AG32" s="5">
        <f>AF32*(I32)</f>
        <v>1.3336107378659472</v>
      </c>
      <c r="AH32" s="5">
        <f>1-(AG32/2.65)</f>
        <v>0.49675066495624631</v>
      </c>
      <c r="AI32" s="24">
        <f>(1-AG32/2.65)-(1-AF32/2.65)</f>
        <v>0</v>
      </c>
      <c r="AJ32" s="24">
        <f>Z32+0.2*AI32</f>
        <v>0.35196466578015978</v>
      </c>
      <c r="AK32" s="24">
        <f>AH32-AJ32</f>
        <v>0.14478599917608653</v>
      </c>
      <c r="AL32" s="24">
        <f xml:space="preserve"> (LN(AJ32)-LN(X32))/(LN(1500)-LN(33))</f>
        <v>0.14390801045221607</v>
      </c>
      <c r="AM32" s="24">
        <f>(1-J32)/(1-J32*(1-1.5*(R32/2.65)))</f>
        <v>1</v>
      </c>
      <c r="AN32" s="25">
        <f>1930*(AK32)^(3-AL32)*AM32</f>
        <v>7.7359772086592011</v>
      </c>
      <c r="AO32" s="5">
        <f>(LN(1500)-LN(33))/(LN(AJ32)-LN(X32))</f>
        <v>6.9488835045221116</v>
      </c>
      <c r="AP32" s="24">
        <f>EXP(LN(33)+(AO32*LN(AJ32)))</f>
        <v>2.3291034677899374E-2</v>
      </c>
      <c r="AQ32" s="25">
        <f>-21.674*$F32-27.932*$G32-81.975*$AK32+71.121*$F32*$AK32+8.294*$G32*$AK32+14.05*$F32*$G32+27.161</f>
        <v>4.8304926580320888</v>
      </c>
      <c r="AR32" s="25">
        <f>AQ32+(0.02*AQ32^2-0.113*AQ32-0.7)</f>
        <v>4.0513201740605016</v>
      </c>
      <c r="AS32" s="5"/>
      <c r="AV32" s="5" t="s">
        <v>95</v>
      </c>
      <c r="AX32" s="5">
        <f>(AX31*$J30)/(1-$J30*(1-AX31))</f>
        <v>0</v>
      </c>
      <c r="AY32" s="5">
        <f>(AY31*$J31)/(1-$J31*(1-AY31))</f>
        <v>0</v>
      </c>
      <c r="AZ32" s="5">
        <f>(AZ31*$J32)/(1-$J32*(1-AZ31))</f>
        <v>0</v>
      </c>
      <c r="BA32" s="5">
        <f>(BA31*$J33)/(1-$J33*(1-BA31))</f>
        <v>0</v>
      </c>
      <c r="BB32" s="5"/>
      <c r="BD32" s="22">
        <f t="shared" ref="BD32:BD37" si="47">BD31-2</f>
        <v>30</v>
      </c>
      <c r="BE32" s="22">
        <f t="shared" si="46"/>
        <v>27.265363556557539</v>
      </c>
      <c r="BF32" s="22">
        <f t="shared" si="41"/>
        <v>49.289047622870193</v>
      </c>
      <c r="BG32" s="22">
        <f t="shared" si="37"/>
        <v>100.14107978969797</v>
      </c>
      <c r="BH32" s="22">
        <f t="shared" si="35"/>
        <v>3147.1861344512204</v>
      </c>
      <c r="BI32" s="22">
        <v>30</v>
      </c>
      <c r="BJ32" s="23">
        <f t="shared" si="39"/>
        <v>0.10641464241036659</v>
      </c>
      <c r="BK32" s="23">
        <f t="shared" si="38"/>
        <v>4.9033044825955191E-2</v>
      </c>
      <c r="BL32" s="23">
        <f t="shared" si="36"/>
        <v>1.5403291141728162E-3</v>
      </c>
      <c r="BM32" s="23">
        <f t="shared" si="40"/>
        <v>2.9876543360453353E-7</v>
      </c>
      <c r="BO32" s="1">
        <f t="shared" si="32"/>
        <v>0.561889834785127</v>
      </c>
      <c r="BP32" s="25">
        <f t="shared" si="34"/>
        <v>2.7815778843141716E-2</v>
      </c>
      <c r="BQ32" s="25">
        <f t="shared" si="34"/>
        <v>1.2489989680379886E-2</v>
      </c>
      <c r="BR32" s="25">
        <f t="shared" si="34"/>
        <v>4.3286414808002271E-3</v>
      </c>
      <c r="BS32" s="25">
        <f t="shared" si="34"/>
        <v>8.7085772820830448E-4</v>
      </c>
      <c r="BU32" s="5">
        <v>0.6</v>
      </c>
      <c r="BV32" s="5">
        <v>0.4371944201814284</v>
      </c>
      <c r="BW32" s="5">
        <v>1.9309420224679754</v>
      </c>
      <c r="BX32" s="25">
        <v>5.6074917297578617</v>
      </c>
      <c r="CA32" s="1">
        <f t="shared" ref="CA32:CA37" si="48">CA31-2</f>
        <v>30</v>
      </c>
      <c r="CB32" s="22">
        <f t="shared" si="42"/>
        <v>27.265363556557539</v>
      </c>
      <c r="CC32" s="22">
        <f t="shared" si="43"/>
        <v>49.289047622870193</v>
      </c>
      <c r="CD32" s="22">
        <f t="shared" si="44"/>
        <v>100.14107978969797</v>
      </c>
      <c r="CE32" s="22">
        <f t="shared" si="45"/>
        <v>3147.1861344512204</v>
      </c>
    </row>
    <row r="33" spans="1:83" x14ac:dyDescent="0.25">
      <c r="B33" s="1">
        <v>11</v>
      </c>
      <c r="F33" s="5">
        <v>0.12736428571428574</v>
      </c>
      <c r="G33" s="5">
        <v>0.54555714285714296</v>
      </c>
      <c r="H33" s="5">
        <v>2.88</v>
      </c>
      <c r="I33" s="5">
        <v>1</v>
      </c>
      <c r="J33" s="5">
        <v>0</v>
      </c>
      <c r="K33" s="5">
        <v>0</v>
      </c>
      <c r="M33" s="5">
        <f>X33</f>
        <v>0.31862892619568156</v>
      </c>
      <c r="N33" s="5">
        <f>AJ33</f>
        <v>0.43455169849824726</v>
      </c>
      <c r="O33" s="5">
        <f>AH33</f>
        <v>0.53114249045657214</v>
      </c>
      <c r="P33" s="5">
        <f>(N33-M33)*(1-T33)</f>
        <v>0.1159227723025657</v>
      </c>
      <c r="Q33" s="5">
        <f>AN33</f>
        <v>2.1032276635456717</v>
      </c>
      <c r="R33" s="5">
        <f>AG33</f>
        <v>1.2424724002900838</v>
      </c>
      <c r="S33" s="5">
        <f>N33-(S$16-33)*(O33-N33)/(33-AR33)</f>
        <v>0.50782942765707106</v>
      </c>
      <c r="T33" s="5">
        <f>((R33/2.65)*J33)/(1-J33*(1-R33/2.65))</f>
        <v>0</v>
      </c>
      <c r="U33" s="5">
        <f>T33*2.65+(1-T33)*R33</f>
        <v>1.2424724002900838</v>
      </c>
      <c r="W33" s="5">
        <f>-0.024*F33+0.487*G33+0.006*H33+0.005*F33*H33-0.013*G33*H33+0.068*F33*G33+0.031</f>
        <v>0.29704291771551017</v>
      </c>
      <c r="X33" s="5">
        <f>W33+0.14*W33-0.02</f>
        <v>0.31862892619568156</v>
      </c>
      <c r="Y33" s="24">
        <f>-0.251*F33+0.195*G33+0.011*H33+0.006*F33*H33-0.027*G33*H33+0.452*F33*G33+0.299</f>
        <v>0.39628053068040814</v>
      </c>
      <c r="Z33" s="24">
        <f>Y33+(1.283*Y33*Y33-0.374*Y33-0.015)</f>
        <v>0.43455169849824726</v>
      </c>
      <c r="AA33" s="5">
        <f>0.278*F33+0.034*G33+0.022*H33-0.018*F33*H33-0.027*G33*H33-0.584*F33*G33+0.078</f>
        <v>0.10571218072897959</v>
      </c>
      <c r="AB33" s="5">
        <f>AA33+(0.636*AA33-0.107)</f>
        <v>6.5945127672610612E-2</v>
      </c>
      <c r="AC33" s="5">
        <f>AB33+Z33</f>
        <v>0.50049682617085789</v>
      </c>
      <c r="AD33" s="24">
        <f>-0.097*F33+0.043</f>
        <v>3.0645664285714282E-2</v>
      </c>
      <c r="AE33" s="5">
        <f>AC33+AD33</f>
        <v>0.53114249045657214</v>
      </c>
      <c r="AF33" s="5">
        <f>(1-AE33)*2.65</f>
        <v>1.2424724002900838</v>
      </c>
      <c r="AG33" s="5">
        <f>AF33*(I33)</f>
        <v>1.2424724002900838</v>
      </c>
      <c r="AH33" s="5">
        <f>1-(AG33/2.65)</f>
        <v>0.53114249045657214</v>
      </c>
      <c r="AI33" s="24">
        <f>(1-AG33/2.65)-(1-AF33/2.65)</f>
        <v>0</v>
      </c>
      <c r="AJ33" s="24">
        <f>Z33+0.2*AI33</f>
        <v>0.43455169849824726</v>
      </c>
      <c r="AK33" s="24">
        <f>AH33-AJ33</f>
        <v>9.6590791958324873E-2</v>
      </c>
      <c r="AL33" s="24">
        <f xml:space="preserve"> (LN(AJ33)-LN(X33))/(LN(1500)-LN(33))</f>
        <v>8.1297113710125296E-2</v>
      </c>
      <c r="AM33" s="24">
        <f>(1-J33)/(1-J33*(1-1.5*(R33/2.65)))</f>
        <v>1</v>
      </c>
      <c r="AN33" s="25">
        <f>1930*(AK33)^(3-AL33)*AM33</f>
        <v>2.1032276635456717</v>
      </c>
      <c r="AO33" s="5">
        <f>(LN(1500)-LN(33))/(LN(AJ33)-LN(X33))</f>
        <v>12.300559692261906</v>
      </c>
      <c r="AP33" s="24">
        <f>EXP(LN(33)+(AO33*LN(AJ33)))</f>
        <v>1.1647191365648218E-3</v>
      </c>
      <c r="AQ33" s="25">
        <f>-21.674*$F33-27.932*$G33-81.975*$AK33+71.121*$F33*$AK33+8.294*$G33*$AK33+14.05*$F33*$G33+27.161</f>
        <v>3.5322362798554465</v>
      </c>
      <c r="AR33" s="25">
        <f>AQ33+(0.02*AQ33^2-0.113*AQ33-0.7)</f>
        <v>2.6826274429663219</v>
      </c>
      <c r="AS33" s="5"/>
      <c r="AV33" s="1" t="s">
        <v>96</v>
      </c>
      <c r="AX33" s="5">
        <f>AX28*(1-AX32)</f>
        <v>0.22669867938508803</v>
      </c>
      <c r="AY33" s="5">
        <f>AY28*(1-AY32)</f>
        <v>0.20274799359641787</v>
      </c>
      <c r="AZ33" s="5">
        <f>AZ28*(1-AZ32)</f>
        <v>0.1487474897071879</v>
      </c>
      <c r="BA33" s="5">
        <f>BA28*(1-BA32)</f>
        <v>0.1159227723025657</v>
      </c>
      <c r="BB33" s="5"/>
      <c r="BD33" s="22">
        <f t="shared" si="47"/>
        <v>28</v>
      </c>
      <c r="BE33" s="22">
        <f t="shared" si="46"/>
        <v>31.722458108585137</v>
      </c>
      <c r="BF33" s="22">
        <f t="shared" si="41"/>
        <v>65.102521625014504</v>
      </c>
      <c r="BG33" s="22">
        <f t="shared" si="37"/>
        <v>161.74215254443058</v>
      </c>
      <c r="BH33" s="22">
        <f t="shared" si="35"/>
        <v>7353.3772466433429</v>
      </c>
      <c r="BI33" s="22">
        <v>28</v>
      </c>
      <c r="BJ33" s="23">
        <f t="shared" si="39"/>
        <v>6.391468320522084E-2</v>
      </c>
      <c r="BK33" s="23">
        <f t="shared" si="38"/>
        <v>2.2850958674594159E-2</v>
      </c>
      <c r="BL33" s="23"/>
      <c r="BM33" s="23">
        <f t="shared" si="40"/>
        <v>4.4495064811954662E-8</v>
      </c>
      <c r="BO33" s="1">
        <f t="shared" si="32"/>
        <v>0.5244305124661186</v>
      </c>
      <c r="BP33" s="25">
        <f t="shared" si="34"/>
        <v>1.2322263594898242E-2</v>
      </c>
      <c r="BQ33" s="25">
        <f t="shared" si="34"/>
        <v>5.4824607260835437E-3</v>
      </c>
      <c r="BR33" s="25">
        <f t="shared" si="34"/>
        <v>1.8819250734118547E-3</v>
      </c>
      <c r="BS33" s="25">
        <f t="shared" si="34"/>
        <v>3.7483992176318783E-4</v>
      </c>
      <c r="BU33" s="5">
        <v>0.65</v>
      </c>
      <c r="BV33" s="5">
        <v>0.49025569750739106</v>
      </c>
      <c r="BW33" s="5">
        <v>1.9987347667609019</v>
      </c>
      <c r="BX33" s="25">
        <v>4.9706005125864676</v>
      </c>
      <c r="CA33" s="1">
        <f t="shared" si="48"/>
        <v>28</v>
      </c>
      <c r="CB33" s="22">
        <f t="shared" si="42"/>
        <v>31.722458108585137</v>
      </c>
      <c r="CC33" s="22">
        <f t="shared" si="43"/>
        <v>65.102521625014504</v>
      </c>
      <c r="CD33" s="22">
        <f t="shared" si="44"/>
        <v>161.74215254443058</v>
      </c>
      <c r="CE33" s="22">
        <f t="shared" si="45"/>
        <v>7353.3772466433429</v>
      </c>
    </row>
    <row r="34" spans="1:83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8"/>
      <c r="AJ34" s="28"/>
      <c r="AK34" s="28"/>
      <c r="AL34" s="26"/>
      <c r="AM34" s="26"/>
      <c r="AN34" s="26"/>
      <c r="AO34" s="26"/>
      <c r="AP34" s="26"/>
      <c r="AQ34" s="29"/>
      <c r="AR34" s="27"/>
      <c r="AS34" s="26"/>
      <c r="AV34" s="1" t="s">
        <v>97</v>
      </c>
      <c r="AX34" s="25">
        <f>$AN30</f>
        <v>9.4557383110166496E-2</v>
      </c>
      <c r="AY34" s="25">
        <f>$AN31</f>
        <v>15.54946932044418</v>
      </c>
      <c r="AZ34" s="25">
        <f>$AN32</f>
        <v>7.7359772086592011</v>
      </c>
      <c r="BA34" s="25">
        <f>$AN33</f>
        <v>2.1032276635456717</v>
      </c>
      <c r="BB34" s="30"/>
      <c r="BD34" s="22">
        <f t="shared" si="47"/>
        <v>26</v>
      </c>
      <c r="BE34" s="22">
        <f t="shared" si="46"/>
        <v>37.32479735054067</v>
      </c>
      <c r="BF34" s="22">
        <f t="shared" si="41"/>
        <v>87.781857273445539</v>
      </c>
      <c r="BG34" s="22">
        <f t="shared" si="37"/>
        <v>270.6891410554544</v>
      </c>
      <c r="BH34" s="22">
        <f t="shared" si="35"/>
        <v>18296.8558238306</v>
      </c>
      <c r="BI34" s="22">
        <v>26</v>
      </c>
      <c r="BJ34" s="23">
        <f t="shared" si="39"/>
        <v>3.6964542779758199E-2</v>
      </c>
      <c r="BK34" s="23">
        <f t="shared" si="38"/>
        <v>1.0063208364173851E-2</v>
      </c>
      <c r="BL34" s="23"/>
      <c r="BM34" s="23">
        <f t="shared" si="40"/>
        <v>5.7541152424424041E-9</v>
      </c>
      <c r="BO34" s="1">
        <f t="shared" si="32"/>
        <v>0.48697119014711016</v>
      </c>
      <c r="BP34" s="25">
        <f t="shared" ref="BP34:BR35" si="49">BP$20*$BO34^(3+2*BP$15)</f>
        <v>5.1389449442117386E-3</v>
      </c>
      <c r="BQ34" s="25">
        <f t="shared" si="49"/>
        <v>2.2640065132010639E-3</v>
      </c>
      <c r="BR34" s="25">
        <f t="shared" si="49"/>
        <v>7.6918907908050569E-4</v>
      </c>
      <c r="BS34" s="25"/>
      <c r="BU34" s="5">
        <v>0.7</v>
      </c>
      <c r="BV34" s="5">
        <v>0.54717836119434171</v>
      </c>
      <c r="BW34" s="5">
        <v>2.0714609388071508</v>
      </c>
      <c r="BX34" s="25">
        <v>4.316862719363237</v>
      </c>
      <c r="CA34" s="1">
        <f t="shared" si="48"/>
        <v>26</v>
      </c>
      <c r="CB34" s="22">
        <f t="shared" si="42"/>
        <v>37.32479735054067</v>
      </c>
      <c r="CC34" s="22">
        <f t="shared" si="43"/>
        <v>87.781857273445539</v>
      </c>
      <c r="CD34" s="22">
        <f t="shared" si="44"/>
        <v>270.6891410554544</v>
      </c>
      <c r="CE34" s="22">
        <f t="shared" si="45"/>
        <v>18296.8558238306</v>
      </c>
    </row>
    <row r="35" spans="1:83" ht="15.6" x14ac:dyDescent="0.3">
      <c r="A35" s="9" t="s">
        <v>135</v>
      </c>
      <c r="M35" s="5"/>
      <c r="N35" s="5"/>
      <c r="O35" s="5"/>
      <c r="P35" s="5"/>
      <c r="Q35" s="5"/>
      <c r="S35" s="48" t="s">
        <v>150</v>
      </c>
      <c r="V35" s="5"/>
      <c r="AB35" s="1" t="s">
        <v>13</v>
      </c>
      <c r="AC35" s="1" t="s">
        <v>14</v>
      </c>
      <c r="AF35" s="1" t="s">
        <v>15</v>
      </c>
      <c r="AG35" s="1" t="s">
        <v>15</v>
      </c>
      <c r="AH35" s="1" t="s">
        <v>16</v>
      </c>
      <c r="AI35" s="1" t="s">
        <v>16</v>
      </c>
      <c r="AJ35" s="1" t="s">
        <v>17</v>
      </c>
      <c r="AK35" s="1" t="s">
        <v>18</v>
      </c>
      <c r="AM35" s="1" t="s">
        <v>19</v>
      </c>
      <c r="AO35" s="1" t="s">
        <v>20</v>
      </c>
      <c r="AP35" s="1" t="s">
        <v>20</v>
      </c>
      <c r="AY35" s="5"/>
      <c r="AZ35" s="5"/>
      <c r="BB35" s="30"/>
      <c r="BD35" s="22">
        <f t="shared" si="47"/>
        <v>24</v>
      </c>
      <c r="BE35" s="22">
        <f t="shared" si="46"/>
        <v>44.492247669230593</v>
      </c>
      <c r="BF35" s="22">
        <f t="shared" si="41"/>
        <v>121.22912131300605</v>
      </c>
      <c r="BG35" s="22">
        <f t="shared" si="37"/>
        <v>472.09419554742942</v>
      </c>
      <c r="BH35" s="22">
        <f t="shared" si="35"/>
        <v>48974.479497367916</v>
      </c>
      <c r="BI35" s="22">
        <v>24</v>
      </c>
      <c r="BJ35" s="23">
        <f t="shared" si="39"/>
        <v>2.0460924115776404E-2</v>
      </c>
      <c r="BK35" s="23">
        <f t="shared" si="38"/>
        <v>4.1499776929806425E-3</v>
      </c>
      <c r="BL35" s="23"/>
      <c r="BM35" s="23"/>
      <c r="BO35" s="1">
        <f t="shared" si="32"/>
        <v>0.44951186782810165</v>
      </c>
      <c r="BP35" s="25">
        <f t="shared" si="49"/>
        <v>1.9982087690722217E-3</v>
      </c>
      <c r="BQ35" s="25">
        <f t="shared" si="49"/>
        <v>8.7100446568229458E-4</v>
      </c>
      <c r="BR35" s="25">
        <f t="shared" si="49"/>
        <v>2.9264855277530254E-4</v>
      </c>
      <c r="BS35" s="25"/>
      <c r="CA35" s="1">
        <f t="shared" si="48"/>
        <v>24</v>
      </c>
      <c r="CB35" s="22">
        <f t="shared" si="42"/>
        <v>44.492247669230593</v>
      </c>
      <c r="CC35" s="22">
        <f t="shared" si="43"/>
        <v>121.22912131300605</v>
      </c>
      <c r="CD35" s="22">
        <f t="shared" si="44"/>
        <v>472.09419554742942</v>
      </c>
      <c r="CE35" s="22">
        <f t="shared" si="45"/>
        <v>48974.479497367916</v>
      </c>
    </row>
    <row r="36" spans="1:83" ht="15.6" x14ac:dyDescent="0.3">
      <c r="I36" s="1" t="s">
        <v>15</v>
      </c>
      <c r="J36" s="5" t="s">
        <v>23</v>
      </c>
      <c r="K36" s="31" t="s">
        <v>24</v>
      </c>
      <c r="M36" s="5" t="s">
        <v>25</v>
      </c>
      <c r="N36" s="5" t="s">
        <v>26</v>
      </c>
      <c r="O36" s="5" t="s">
        <v>27</v>
      </c>
      <c r="P36" s="1" t="s">
        <v>28</v>
      </c>
      <c r="R36" s="1" t="s">
        <v>29</v>
      </c>
      <c r="S36" s="48" t="s">
        <v>151</v>
      </c>
      <c r="T36" s="1" t="s">
        <v>23</v>
      </c>
      <c r="U36" s="1" t="s">
        <v>31</v>
      </c>
      <c r="V36" s="5"/>
      <c r="W36" s="1" t="s">
        <v>32</v>
      </c>
      <c r="X36" s="1" t="s">
        <v>32</v>
      </c>
      <c r="Y36" s="1" t="s">
        <v>32</v>
      </c>
      <c r="Z36" s="1" t="s">
        <v>33</v>
      </c>
      <c r="AA36" s="1" t="s">
        <v>34</v>
      </c>
      <c r="AB36" s="1" t="s">
        <v>34</v>
      </c>
      <c r="AC36" s="1" t="s">
        <v>35</v>
      </c>
      <c r="AD36" s="1" t="s">
        <v>14</v>
      </c>
      <c r="AE36" s="1" t="s">
        <v>36</v>
      </c>
      <c r="AF36" s="1" t="s">
        <v>37</v>
      </c>
      <c r="AG36" s="1" t="s">
        <v>38</v>
      </c>
      <c r="AH36" s="1" t="s">
        <v>39</v>
      </c>
      <c r="AI36" s="1" t="s">
        <v>40</v>
      </c>
      <c r="AJ36" s="1" t="s">
        <v>41</v>
      </c>
      <c r="AK36" s="1" t="s">
        <v>17</v>
      </c>
      <c r="AL36" s="1" t="s">
        <v>42</v>
      </c>
      <c r="AM36" s="1" t="s">
        <v>43</v>
      </c>
      <c r="AN36" s="1" t="s">
        <v>44</v>
      </c>
      <c r="AO36" s="21" t="s">
        <v>45</v>
      </c>
      <c r="AP36" s="21" t="s">
        <v>46</v>
      </c>
      <c r="AQ36" s="1" t="s">
        <v>47</v>
      </c>
      <c r="AR36" s="1" t="s">
        <v>47</v>
      </c>
      <c r="AV36" s="1" t="s">
        <v>10</v>
      </c>
      <c r="AY36" s="5"/>
      <c r="AZ36" s="5"/>
      <c r="BB36" s="30"/>
      <c r="BD36" s="22">
        <f t="shared" si="47"/>
        <v>22</v>
      </c>
      <c r="BE36" s="22">
        <f t="shared" si="46"/>
        <v>53.853373566801423</v>
      </c>
      <c r="BF36" s="22">
        <f t="shared" si="41"/>
        <v>172.19297006115593</v>
      </c>
      <c r="BG36" s="22">
        <f t="shared" si="37"/>
        <v>864.20538509213213</v>
      </c>
      <c r="BH36" s="22">
        <f t="shared" si="35"/>
        <v>142820.41079302851</v>
      </c>
      <c r="BI36" s="22">
        <v>22</v>
      </c>
      <c r="BJ36" s="23">
        <f t="shared" si="39"/>
        <v>1.0757278829622909E-2</v>
      </c>
      <c r="BK36" s="23">
        <f t="shared" si="38"/>
        <v>1.5843938949853227E-3</v>
      </c>
      <c r="BL36" s="23"/>
      <c r="BM36" s="23"/>
      <c r="BO36" s="1">
        <f t="shared" si="32"/>
        <v>0.4120525455090932</v>
      </c>
      <c r="BP36" s="25">
        <f>BP$20*$BO36^(3+2*BP$15)</f>
        <v>7.1563584777588069E-4</v>
      </c>
      <c r="BQ36" s="25">
        <f>BQ$20*$BO36^(3+2*BQ$15)</f>
        <v>3.083506243525358E-4</v>
      </c>
      <c r="BR36" s="25"/>
      <c r="BS36" s="25"/>
      <c r="CA36" s="1">
        <f t="shared" si="48"/>
        <v>22</v>
      </c>
      <c r="CB36" s="22">
        <f t="shared" si="42"/>
        <v>53.853373566801423</v>
      </c>
      <c r="CC36" s="22">
        <f t="shared" si="43"/>
        <v>172.19297006115593</v>
      </c>
      <c r="CD36" s="22">
        <f t="shared" si="44"/>
        <v>864.20538509213213</v>
      </c>
      <c r="CE36" s="22">
        <f t="shared" si="45"/>
        <v>142820.41079302851</v>
      </c>
    </row>
    <row r="37" spans="1:83" ht="15.6" x14ac:dyDescent="0.3">
      <c r="A37" s="47" t="s">
        <v>133</v>
      </c>
      <c r="I37" s="1" t="s">
        <v>53</v>
      </c>
      <c r="J37" s="1" t="s">
        <v>54</v>
      </c>
      <c r="K37" s="32" t="s">
        <v>98</v>
      </c>
      <c r="M37" s="1" t="s">
        <v>56</v>
      </c>
      <c r="N37" s="1" t="s">
        <v>57</v>
      </c>
      <c r="O37" s="1" t="s">
        <v>14</v>
      </c>
      <c r="P37" s="1" t="s">
        <v>58</v>
      </c>
      <c r="Q37" s="1" t="s">
        <v>59</v>
      </c>
      <c r="S37" s="1">
        <v>33</v>
      </c>
      <c r="T37" s="1" t="s">
        <v>60</v>
      </c>
      <c r="U37" s="1" t="s">
        <v>15</v>
      </c>
      <c r="V37" s="5"/>
      <c r="W37" s="1" t="s">
        <v>61</v>
      </c>
      <c r="X37" s="1" t="s">
        <v>61</v>
      </c>
      <c r="Y37" s="1" t="s">
        <v>17</v>
      </c>
      <c r="Z37" s="1" t="s">
        <v>17</v>
      </c>
      <c r="AA37" s="1" t="s">
        <v>62</v>
      </c>
      <c r="AB37" s="1" t="s">
        <v>62</v>
      </c>
      <c r="AC37" s="1" t="s">
        <v>62</v>
      </c>
      <c r="AD37" s="1" t="s">
        <v>36</v>
      </c>
      <c r="AE37" s="1" t="s">
        <v>14</v>
      </c>
      <c r="AH37" s="1" t="s">
        <v>63</v>
      </c>
      <c r="AI37" s="1" t="s">
        <v>64</v>
      </c>
      <c r="AK37" s="1" t="s">
        <v>38</v>
      </c>
      <c r="AM37" s="1" t="s">
        <v>44</v>
      </c>
      <c r="AN37" s="1" t="s">
        <v>65</v>
      </c>
      <c r="AQ37" s="1" t="s">
        <v>66</v>
      </c>
      <c r="AR37" s="1" t="s">
        <v>67</v>
      </c>
      <c r="AV37" s="1" t="s">
        <v>99</v>
      </c>
      <c r="AX37" s="5">
        <f>$F$30</f>
        <v>0.05</v>
      </c>
      <c r="AY37" s="5">
        <f>$F$31</f>
        <v>0.15038994565217392</v>
      </c>
      <c r="AZ37" s="5">
        <f>$F$32</f>
        <v>0.29117692307692311</v>
      </c>
      <c r="BA37" s="5">
        <f>$F$33</f>
        <v>0.12736428571428574</v>
      </c>
      <c r="BB37" s="30"/>
      <c r="BD37" s="22">
        <f t="shared" si="47"/>
        <v>20</v>
      </c>
      <c r="BE37" s="22">
        <f t="shared" si="46"/>
        <v>66.382084064701303</v>
      </c>
      <c r="BF37" s="22">
        <f t="shared" si="41"/>
        <v>252.90650265440664</v>
      </c>
      <c r="BG37" s="22">
        <f t="shared" si="37"/>
        <v>1675.9070013315416</v>
      </c>
      <c r="BH37" s="22">
        <f t="shared" si="35"/>
        <v>461257.533669047</v>
      </c>
      <c r="BI37" s="22">
        <v>20</v>
      </c>
      <c r="BJ37" s="23">
        <f t="shared" si="39"/>
        <v>5.3192258782451792E-3</v>
      </c>
      <c r="BK37" s="23"/>
      <c r="BL37" s="23"/>
      <c r="BM37" s="23"/>
      <c r="BO37" s="1">
        <f t="shared" si="32"/>
        <v>0.3745932231900847</v>
      </c>
      <c r="BP37" s="23"/>
      <c r="CA37" s="1">
        <f t="shared" si="48"/>
        <v>20</v>
      </c>
      <c r="CB37" s="22">
        <f t="shared" si="42"/>
        <v>66.382084064701303</v>
      </c>
      <c r="CC37" s="22">
        <f t="shared" si="43"/>
        <v>252.90650265440664</v>
      </c>
      <c r="CD37" s="22">
        <f t="shared" si="44"/>
        <v>1675.9070013315416</v>
      </c>
      <c r="CE37" s="22">
        <f t="shared" si="45"/>
        <v>461257.533669047</v>
      </c>
    </row>
    <row r="38" spans="1:83" ht="17.399999999999999" x14ac:dyDescent="0.3">
      <c r="A38" s="16" t="s">
        <v>137</v>
      </c>
      <c r="B38" s="11" t="s">
        <v>136</v>
      </c>
      <c r="D38" s="16" t="s">
        <v>107</v>
      </c>
      <c r="E38" s="15"/>
      <c r="F38" s="15"/>
      <c r="G38" s="15"/>
      <c r="H38" s="16" t="s">
        <v>10</v>
      </c>
      <c r="I38" s="33"/>
      <c r="J38" s="15"/>
      <c r="K38" s="34" t="s">
        <v>55</v>
      </c>
      <c r="L38" s="5"/>
      <c r="M38" s="1" t="s">
        <v>52</v>
      </c>
      <c r="N38" s="1" t="s">
        <v>52</v>
      </c>
      <c r="O38" s="1" t="s">
        <v>52</v>
      </c>
      <c r="P38" s="1" t="s">
        <v>52</v>
      </c>
      <c r="Q38" s="1" t="s">
        <v>65</v>
      </c>
      <c r="R38" s="1" t="s">
        <v>72</v>
      </c>
      <c r="S38" s="1" t="s">
        <v>52</v>
      </c>
      <c r="U38" s="1" t="s">
        <v>72</v>
      </c>
      <c r="V38" s="5"/>
      <c r="W38" s="1" t="s">
        <v>73</v>
      </c>
      <c r="X38" s="1" t="s">
        <v>74</v>
      </c>
      <c r="AQ38" s="1" t="s">
        <v>75</v>
      </c>
      <c r="AR38" s="1" t="s">
        <v>76</v>
      </c>
      <c r="AV38" s="1" t="s">
        <v>100</v>
      </c>
      <c r="AX38" s="5">
        <f>$G30</f>
        <v>0.05</v>
      </c>
      <c r="AY38" s="5">
        <f>$G31</f>
        <v>0.1801073369565219</v>
      </c>
      <c r="AZ38" s="5">
        <f>$G32</f>
        <v>0.3157692307692308</v>
      </c>
      <c r="BA38" s="5">
        <f>$G33</f>
        <v>0.54555714285714296</v>
      </c>
      <c r="BB38" s="30"/>
      <c r="BD38" s="22">
        <v>19</v>
      </c>
      <c r="BE38" s="22">
        <f t="shared" si="46"/>
        <v>74.291197264095388</v>
      </c>
      <c r="BF38" s="22">
        <f t="shared" si="41"/>
        <v>311.03190221161628</v>
      </c>
      <c r="BG38" s="22">
        <f t="shared" si="37"/>
        <v>2393.569195808273</v>
      </c>
      <c r="BH38" s="22">
        <f t="shared" si="35"/>
        <v>866873.23741685203</v>
      </c>
      <c r="BI38" s="22">
        <v>18</v>
      </c>
      <c r="BJ38" s="23"/>
      <c r="BK38" s="23"/>
      <c r="BL38" s="23"/>
      <c r="BM38" s="23"/>
      <c r="BO38" s="1">
        <f t="shared" si="32"/>
        <v>0.3371339008710762</v>
      </c>
      <c r="BP38" s="23"/>
      <c r="CA38" s="1">
        <v>19</v>
      </c>
      <c r="CB38" s="22">
        <f t="shared" si="42"/>
        <v>74.291197264095388</v>
      </c>
      <c r="CC38" s="22">
        <f t="shared" si="43"/>
        <v>311.03190221161628</v>
      </c>
      <c r="CD38" s="22">
        <f t="shared" si="44"/>
        <v>2393.569195808273</v>
      </c>
      <c r="CE38" s="22">
        <f t="shared" si="45"/>
        <v>866873.23741685203</v>
      </c>
    </row>
    <row r="39" spans="1:83" ht="17.399999999999999" x14ac:dyDescent="0.3">
      <c r="A39" s="16" t="s">
        <v>101</v>
      </c>
      <c r="B39" s="11" t="s">
        <v>117</v>
      </c>
      <c r="D39" s="9" t="s">
        <v>50</v>
      </c>
      <c r="F39" s="35" t="s">
        <v>102</v>
      </c>
      <c r="G39" s="35" t="s">
        <v>68</v>
      </c>
      <c r="H39" s="33" t="s">
        <v>103</v>
      </c>
      <c r="I39" s="36" t="s">
        <v>104</v>
      </c>
      <c r="J39" s="33" t="s">
        <v>105</v>
      </c>
      <c r="K39" s="37" t="s">
        <v>24</v>
      </c>
      <c r="M39" s="17"/>
      <c r="N39" s="17"/>
      <c r="O39" s="18" t="s">
        <v>11</v>
      </c>
      <c r="P39" s="17"/>
      <c r="Q39" s="17"/>
      <c r="R39" s="17"/>
      <c r="S39" s="17"/>
      <c r="T39" s="17"/>
      <c r="U39" s="17"/>
      <c r="W39" s="13"/>
      <c r="X39" s="13"/>
      <c r="Y39" s="12" t="s">
        <v>12</v>
      </c>
      <c r="Z39" s="13"/>
      <c r="AA39" s="13"/>
      <c r="AB39" s="13"/>
      <c r="AC39" s="13"/>
      <c r="AD39" s="12" t="s">
        <v>12</v>
      </c>
      <c r="AE39" s="13"/>
      <c r="AF39" s="13"/>
      <c r="AG39" s="13"/>
      <c r="AH39" s="12" t="s">
        <v>12</v>
      </c>
      <c r="AI39" s="13"/>
      <c r="AJ39" s="13"/>
      <c r="AK39" s="13"/>
      <c r="AL39" s="13"/>
      <c r="AM39" s="12" t="s">
        <v>12</v>
      </c>
      <c r="AN39" s="13"/>
      <c r="AO39" s="13"/>
      <c r="AP39" s="13"/>
      <c r="AQ39" s="12" t="s">
        <v>12</v>
      </c>
      <c r="AR39" s="13"/>
      <c r="AS39" s="13"/>
      <c r="AV39" s="1" t="s">
        <v>106</v>
      </c>
      <c r="AX39" s="5">
        <f>$H30</f>
        <v>1</v>
      </c>
      <c r="AY39" s="5">
        <f>$H31</f>
        <v>3.0452492391304342</v>
      </c>
      <c r="AZ39" s="5">
        <f>$H32</f>
        <v>3.5097987692307693</v>
      </c>
      <c r="BA39" s="5">
        <f>$H33</f>
        <v>2.88</v>
      </c>
      <c r="BC39" s="30"/>
      <c r="BD39" s="22">
        <v>18</v>
      </c>
      <c r="BE39" s="22">
        <f t="shared" si="46"/>
        <v>83.65031844968567</v>
      </c>
      <c r="BF39" s="22">
        <f t="shared" si="41"/>
        <v>386.81977319907287</v>
      </c>
      <c r="BG39" s="22">
        <f t="shared" si="37"/>
        <v>3485.0850947188364</v>
      </c>
      <c r="BH39" s="22">
        <f t="shared" si="35"/>
        <v>1685723.0161140945</v>
      </c>
      <c r="BI39" s="22">
        <v>15</v>
      </c>
      <c r="BJ39" s="23"/>
      <c r="BK39" s="23"/>
      <c r="BL39" s="23"/>
      <c r="BM39" s="23"/>
      <c r="CA39" s="1">
        <v>18</v>
      </c>
      <c r="CB39" s="22">
        <f t="shared" si="42"/>
        <v>83.65031844968567</v>
      </c>
      <c r="CC39" s="22">
        <f t="shared" si="43"/>
        <v>386.81977319907287</v>
      </c>
      <c r="CD39" s="22">
        <f t="shared" si="44"/>
        <v>3485.0850947188364</v>
      </c>
      <c r="CE39" s="22">
        <f t="shared" si="45"/>
        <v>1685723.0161140945</v>
      </c>
    </row>
    <row r="40" spans="1:83" ht="17.399999999999999" x14ac:dyDescent="0.3">
      <c r="A40" s="1">
        <v>1.4</v>
      </c>
      <c r="B40" s="5">
        <f>A40/U40</f>
        <v>0.98146735866268886</v>
      </c>
      <c r="D40" s="51" t="s">
        <v>138</v>
      </c>
      <c r="F40" s="5">
        <v>0.88</v>
      </c>
      <c r="G40" s="5">
        <v>0.05</v>
      </c>
      <c r="H40" s="5">
        <v>2.5</v>
      </c>
      <c r="I40" s="5">
        <v>1</v>
      </c>
      <c r="J40" s="5">
        <v>0</v>
      </c>
      <c r="K40" s="41"/>
      <c r="L40" s="41"/>
      <c r="M40" s="22">
        <f t="shared" ref="M40:M51" si="50">X40*100</f>
        <v>5.0220580000000004</v>
      </c>
      <c r="N40" s="22">
        <f t="shared" ref="N40:N51" si="51">AJ40*100</f>
        <v>10.282792364858702</v>
      </c>
      <c r="O40" s="22">
        <f t="shared" ref="O40:O51" si="52">AH40*100</f>
        <v>46.172240764858707</v>
      </c>
      <c r="P40" s="22">
        <f t="shared" ref="P40:P51" si="53">(N40-M40)*(1-T40)</f>
        <v>5.2607343648587017</v>
      </c>
      <c r="Q40" s="25">
        <f t="shared" ref="Q40:Q51" si="54">AN40</f>
        <v>108.14782785074016</v>
      </c>
      <c r="R40" s="5">
        <f t="shared" ref="R40:R51" si="55">AG40</f>
        <v>1.4264356197312442</v>
      </c>
      <c r="S40" s="22">
        <f t="shared" ref="S40:S51" si="56">N40-(S$37-33)*(O40-N40)/(33-AR40)</f>
        <v>10.282792364858702</v>
      </c>
      <c r="T40" s="5">
        <f t="shared" ref="T40:T51" si="57">((R40/2.65)*J40)/(1-J40*(1-R40/2.65))</f>
        <v>0</v>
      </c>
      <c r="U40" s="5">
        <f t="shared" ref="U40:U51" si="58">T40*2.65+(1-T40)*R40</f>
        <v>1.4264356197312442</v>
      </c>
      <c r="V40" s="5"/>
      <c r="W40" s="24">
        <f t="shared" ref="W40:W51" si="59">-0.024*F40+0.487*G40+0.006*H40+0.005*F40*H40-0.013*G40*H40+0.068*F40*G40+0.031</f>
        <v>6.1596999999999999E-2</v>
      </c>
      <c r="X40" s="24">
        <f t="shared" ref="X40:X51" si="60">W40+0.14*W40-0.02</f>
        <v>5.0220580000000001E-2</v>
      </c>
      <c r="Y40" s="5">
        <f t="shared" ref="Y40:Y51" si="61">-0.251*F40+0.195*G40+0.011*H40+0.006*F40*H40-0.027*G40*H40+0.452*F40*G40+0.299</f>
        <v>0.14508300000000002</v>
      </c>
      <c r="Z40" s="5">
        <f t="shared" ref="Z40:Z51" si="62">Y40+(1.283*Y40*Y40-0.374*Y40-0.015)</f>
        <v>0.10282792364858702</v>
      </c>
      <c r="AA40" s="5">
        <f t="shared" ref="AA40:AA51" si="63">0.278*F40+0.034*G40+0.022*H40-0.018*F40*H40-0.027*G40*H40-0.584*F40*G40+0.078</f>
        <v>0.31066900000000008</v>
      </c>
      <c r="AB40" s="5">
        <f t="shared" ref="AB40:AB51" si="64">AA40+(0.636*AA40-0.107)</f>
        <v>0.40125448400000013</v>
      </c>
      <c r="AC40" s="5">
        <f t="shared" ref="AC40:AC51" si="65">AB40+Z40</f>
        <v>0.50408240764858714</v>
      </c>
      <c r="AD40" s="5">
        <f t="shared" ref="AD40:AD51" si="66">-0.097*F40+0.043</f>
        <v>-4.2360000000000009E-2</v>
      </c>
      <c r="AE40" s="5">
        <f t="shared" ref="AE40:AE51" si="67">AC40+AD40</f>
        <v>0.46172240764858713</v>
      </c>
      <c r="AF40" s="5">
        <f t="shared" ref="AF40:AF51" si="68">(1-AE40)*2.65</f>
        <v>1.4264356197312442</v>
      </c>
      <c r="AG40" s="24">
        <f t="shared" ref="AG40:AG51" si="69">AF40*(I40)</f>
        <v>1.4264356197312442</v>
      </c>
      <c r="AH40" s="24">
        <f t="shared" ref="AH40:AH51" si="70">1-(AG40/2.65)</f>
        <v>0.46172240764858707</v>
      </c>
      <c r="AI40" s="24">
        <f t="shared" ref="AI40:AI51" si="71">(1-AG40/2.65)-(1-AF40/2.65)</f>
        <v>0</v>
      </c>
      <c r="AJ40" s="24">
        <f t="shared" ref="AJ40:AJ51" si="72">Z40+0.2*AI40</f>
        <v>0.10282792364858702</v>
      </c>
      <c r="AK40" s="24">
        <f t="shared" ref="AK40:AK51" si="73">AH40-AJ40</f>
        <v>0.35889448400000007</v>
      </c>
      <c r="AL40" s="24">
        <f t="shared" ref="AL40:AL51" si="74" xml:space="preserve"> (LN(AJ40)-LN(X40))/(LN(1500)-LN(33))</f>
        <v>0.18776158355467926</v>
      </c>
      <c r="AM40" s="24">
        <f t="shared" ref="AM40:AM51" si="75">(1-J40)/(1-J40*(1-1.5*(R40/2.65)))</f>
        <v>1</v>
      </c>
      <c r="AN40" s="25">
        <f t="shared" ref="AN40:AN51" si="76">1930*(AK40)^(3-AL40)*AM40</f>
        <v>108.14782785074016</v>
      </c>
      <c r="AO40" s="5">
        <f t="shared" ref="AO40:AO51" si="77">(LN(1500)-LN(33))/(LN(AJ40)-LN(X40))</f>
        <v>5.3259031004538988</v>
      </c>
      <c r="AP40" s="24">
        <f t="shared" ref="AP40:AP51" si="78">EXP(LN(33)+(AO40*LN(AJ40)))</f>
        <v>1.8076452552206025E-4</v>
      </c>
      <c r="AQ40" s="25">
        <f t="shared" ref="AQ40:AQ51" si="79">-21.674*$F40-27.932*$G40-81.975*$AK40+71.121*$F40*$AK40+8.294*$G40*$AK40+14.05*$F40*$G40+27.161</f>
        <v>0.49988066159112066</v>
      </c>
      <c r="AR40" s="25">
        <f t="shared" ref="AR40:AR51" si="80">AQ40+(0.02*AQ40^2-0.113*AQ40-0.7)</f>
        <v>-0.25160823965202039</v>
      </c>
      <c r="AS40" s="24"/>
      <c r="AV40" s="1" t="s">
        <v>104</v>
      </c>
      <c r="AX40" s="5">
        <f>$I30</f>
        <v>1.2</v>
      </c>
      <c r="AY40" s="5">
        <f>$I31</f>
        <v>1</v>
      </c>
      <c r="AZ40" s="5">
        <f>$I32</f>
        <v>1</v>
      </c>
      <c r="BA40" s="5">
        <f>$I33</f>
        <v>1</v>
      </c>
      <c r="BB40" s="30"/>
      <c r="BD40" s="22">
        <v>17</v>
      </c>
      <c r="BE40" s="22">
        <f t="shared" si="46"/>
        <v>94.829614547455648</v>
      </c>
      <c r="BF40" s="22">
        <f t="shared" si="41"/>
        <v>487.1098421275654</v>
      </c>
      <c r="BG40" s="22">
        <f t="shared" si="37"/>
        <v>5184.5322238319359</v>
      </c>
      <c r="BH40" s="22">
        <f t="shared" si="35"/>
        <v>3405102.5029573822</v>
      </c>
      <c r="BI40" s="22">
        <v>13</v>
      </c>
      <c r="BJ40" s="23"/>
      <c r="BK40" s="23"/>
      <c r="BL40" s="23"/>
      <c r="BM40" s="23"/>
      <c r="CA40" s="1">
        <v>17</v>
      </c>
      <c r="CB40" s="22">
        <f t="shared" si="42"/>
        <v>94.829614547455648</v>
      </c>
      <c r="CC40" s="22">
        <f t="shared" si="43"/>
        <v>487.1098421275654</v>
      </c>
      <c r="CD40" s="22">
        <f t="shared" si="44"/>
        <v>5184.5322238319359</v>
      </c>
      <c r="CE40" s="22">
        <f t="shared" si="45"/>
        <v>3405102.5029573822</v>
      </c>
    </row>
    <row r="41" spans="1:83" ht="15.6" x14ac:dyDescent="0.25">
      <c r="D41" s="51" t="s">
        <v>139</v>
      </c>
      <c r="F41" s="5">
        <v>0.8</v>
      </c>
      <c r="G41" s="5">
        <v>0.05</v>
      </c>
      <c r="H41" s="5">
        <v>2.5</v>
      </c>
      <c r="I41" s="5">
        <v>1</v>
      </c>
      <c r="J41" s="5">
        <v>0</v>
      </c>
      <c r="M41" s="22">
        <f t="shared" si="50"/>
        <v>5.0959299999999983</v>
      </c>
      <c r="N41" s="22">
        <f t="shared" si="51"/>
        <v>12.024454508407503</v>
      </c>
      <c r="O41" s="22">
        <f t="shared" si="52"/>
        <v>46.022568508407517</v>
      </c>
      <c r="P41" s="22">
        <f t="shared" si="53"/>
        <v>6.9285245084075049</v>
      </c>
      <c r="Q41" s="25">
        <f t="shared" si="54"/>
        <v>96.674629962479159</v>
      </c>
      <c r="R41" s="5">
        <f t="shared" si="55"/>
        <v>1.4304019345272008</v>
      </c>
      <c r="S41" s="22">
        <f t="shared" si="56"/>
        <v>12.024454508407503</v>
      </c>
      <c r="T41" s="5">
        <f t="shared" si="57"/>
        <v>0</v>
      </c>
      <c r="U41" s="5">
        <f t="shared" si="58"/>
        <v>1.4304019345272008</v>
      </c>
      <c r="V41" s="5"/>
      <c r="W41" s="24">
        <f t="shared" si="59"/>
        <v>6.2244999999999995E-2</v>
      </c>
      <c r="X41" s="24">
        <f t="shared" si="60"/>
        <v>5.0959299999999985E-2</v>
      </c>
      <c r="Y41" s="5">
        <f t="shared" si="61"/>
        <v>0.16215500000000002</v>
      </c>
      <c r="Z41" s="5">
        <f t="shared" si="62"/>
        <v>0.12024454508407503</v>
      </c>
      <c r="AA41" s="5">
        <f t="shared" si="63"/>
        <v>0.29436500000000004</v>
      </c>
      <c r="AB41" s="5">
        <f t="shared" si="64"/>
        <v>0.37458114000000009</v>
      </c>
      <c r="AC41" s="5">
        <f t="shared" si="65"/>
        <v>0.4948256850840751</v>
      </c>
      <c r="AD41" s="5">
        <f t="shared" si="66"/>
        <v>-3.4600000000000006E-2</v>
      </c>
      <c r="AE41" s="5">
        <f t="shared" si="67"/>
        <v>0.46022568508407508</v>
      </c>
      <c r="AF41" s="5">
        <f t="shared" si="68"/>
        <v>1.4304019345272008</v>
      </c>
      <c r="AG41" s="24">
        <f t="shared" si="69"/>
        <v>1.4304019345272008</v>
      </c>
      <c r="AH41" s="24">
        <f t="shared" si="70"/>
        <v>0.46022568508407513</v>
      </c>
      <c r="AI41" s="24">
        <f t="shared" si="71"/>
        <v>0</v>
      </c>
      <c r="AJ41" s="24">
        <f t="shared" si="72"/>
        <v>0.12024454508407503</v>
      </c>
      <c r="AK41" s="24">
        <f t="shared" si="73"/>
        <v>0.33998114000000013</v>
      </c>
      <c r="AL41" s="24">
        <f t="shared" si="74"/>
        <v>0.22493184820227929</v>
      </c>
      <c r="AM41" s="24">
        <f t="shared" si="75"/>
        <v>1</v>
      </c>
      <c r="AN41" s="25">
        <f t="shared" si="76"/>
        <v>96.674629962479159</v>
      </c>
      <c r="AO41" s="5">
        <f t="shared" si="77"/>
        <v>4.4457910606803379</v>
      </c>
      <c r="AP41" s="24">
        <f t="shared" si="78"/>
        <v>2.6833470524757087E-3</v>
      </c>
      <c r="AQ41" s="25">
        <f t="shared" si="79"/>
        <v>0.60207515361000219</v>
      </c>
      <c r="AR41" s="25">
        <f t="shared" si="80"/>
        <v>-0.15870944893603789</v>
      </c>
      <c r="AV41" s="1" t="s">
        <v>105</v>
      </c>
      <c r="AX41" s="5">
        <f>$J30</f>
        <v>0</v>
      </c>
      <c r="AY41" s="5">
        <f>$J31</f>
        <v>0</v>
      </c>
      <c r="AZ41" s="5">
        <f>$J32</f>
        <v>0</v>
      </c>
      <c r="BA41" s="5">
        <f>$J33</f>
        <v>0</v>
      </c>
      <c r="BB41" s="30"/>
      <c r="BD41" s="22">
        <v>16</v>
      </c>
      <c r="BE41" s="22">
        <f t="shared" si="46"/>
        <v>108.32381232987588</v>
      </c>
      <c r="BF41" s="22">
        <f t="shared" si="41"/>
        <v>622.0374417807385</v>
      </c>
      <c r="BG41" s="22">
        <f t="shared" si="37"/>
        <v>7900.713366257447</v>
      </c>
      <c r="BH41" s="22">
        <f t="shared" si="35"/>
        <v>7177792.0531606367</v>
      </c>
      <c r="BI41" s="22">
        <v>12</v>
      </c>
      <c r="BJ41" s="23"/>
      <c r="BK41" s="23"/>
      <c r="BL41" s="23"/>
      <c r="BM41" s="23"/>
      <c r="CA41" s="1">
        <v>16</v>
      </c>
      <c r="CB41" s="22">
        <f t="shared" si="42"/>
        <v>108.32381232987588</v>
      </c>
      <c r="CC41" s="22">
        <f t="shared" si="43"/>
        <v>622.0374417807385</v>
      </c>
      <c r="CD41" s="22">
        <f t="shared" si="44"/>
        <v>7900.713366257447</v>
      </c>
      <c r="CE41" s="22">
        <f t="shared" si="45"/>
        <v>7177792.0531606367</v>
      </c>
    </row>
    <row r="42" spans="1:83" ht="15.6" x14ac:dyDescent="0.25">
      <c r="D42" s="51" t="s">
        <v>140</v>
      </c>
      <c r="F42" s="1">
        <v>0.65</v>
      </c>
      <c r="G42" s="1">
        <v>0.1</v>
      </c>
      <c r="H42" s="5">
        <v>2.5</v>
      </c>
      <c r="I42" s="5">
        <v>1</v>
      </c>
      <c r="J42" s="5">
        <v>0</v>
      </c>
      <c r="K42" s="22"/>
      <c r="L42" s="22"/>
      <c r="M42" s="22">
        <f t="shared" si="50"/>
        <v>8.0770300000000006</v>
      </c>
      <c r="N42" s="22">
        <f t="shared" si="51"/>
        <v>17.916761157069995</v>
      </c>
      <c r="O42" s="22">
        <f t="shared" si="52"/>
        <v>44.989465157069993</v>
      </c>
      <c r="P42" s="22">
        <f t="shared" si="53"/>
        <v>9.8397311570699948</v>
      </c>
      <c r="Q42" s="25">
        <f t="shared" si="54"/>
        <v>50.304555133247327</v>
      </c>
      <c r="R42" s="5">
        <f t="shared" si="55"/>
        <v>1.4577791733376451</v>
      </c>
      <c r="S42" s="22">
        <f t="shared" si="56"/>
        <v>17.916761157069995</v>
      </c>
      <c r="T42" s="5">
        <f t="shared" si="57"/>
        <v>0</v>
      </c>
      <c r="U42" s="5">
        <f t="shared" si="58"/>
        <v>1.4577791733376451</v>
      </c>
      <c r="V42" s="5"/>
      <c r="W42" s="24">
        <f t="shared" si="59"/>
        <v>8.8395000000000001E-2</v>
      </c>
      <c r="X42" s="24">
        <f t="shared" si="60"/>
        <v>8.0770300000000003E-2</v>
      </c>
      <c r="Y42" s="5">
        <f t="shared" si="61"/>
        <v>0.21522999999999998</v>
      </c>
      <c r="Z42" s="5">
        <f t="shared" si="62"/>
        <v>0.17916761157069996</v>
      </c>
      <c r="AA42" s="5">
        <f t="shared" si="63"/>
        <v>0.24314000000000002</v>
      </c>
      <c r="AB42" s="5">
        <f t="shared" si="64"/>
        <v>0.29077704000000004</v>
      </c>
      <c r="AC42" s="5">
        <f t="shared" si="65"/>
        <v>0.46994465157069998</v>
      </c>
      <c r="AD42" s="5">
        <f t="shared" si="66"/>
        <v>-2.0050000000000012E-2</v>
      </c>
      <c r="AE42" s="5">
        <f t="shared" si="67"/>
        <v>0.44989465157069997</v>
      </c>
      <c r="AF42" s="5">
        <f t="shared" si="68"/>
        <v>1.4577791733376451</v>
      </c>
      <c r="AG42" s="24">
        <f t="shared" si="69"/>
        <v>1.4577791733376451</v>
      </c>
      <c r="AH42" s="24">
        <f t="shared" si="70"/>
        <v>0.44989465157069997</v>
      </c>
      <c r="AI42" s="24">
        <f t="shared" si="71"/>
        <v>0</v>
      </c>
      <c r="AJ42" s="24">
        <f t="shared" si="72"/>
        <v>0.17916761157069996</v>
      </c>
      <c r="AK42" s="24">
        <f t="shared" si="73"/>
        <v>0.27072704000000003</v>
      </c>
      <c r="AL42" s="24">
        <f t="shared" si="74"/>
        <v>0.20874308807210615</v>
      </c>
      <c r="AM42" s="24">
        <f t="shared" si="75"/>
        <v>1</v>
      </c>
      <c r="AN42" s="25">
        <f t="shared" si="76"/>
        <v>50.304555133247327</v>
      </c>
      <c r="AO42" s="5">
        <f t="shared" si="77"/>
        <v>4.7905777826500771</v>
      </c>
      <c r="AP42" s="24">
        <f t="shared" si="78"/>
        <v>8.7336445309738643E-3</v>
      </c>
      <c r="AQ42" s="25">
        <f t="shared" si="79"/>
        <v>1.7399874806720064</v>
      </c>
      <c r="AR42" s="25">
        <f t="shared" si="80"/>
        <v>0.90392002401397598</v>
      </c>
      <c r="AX42" s="5"/>
      <c r="AY42" s="5"/>
      <c r="BA42" s="30"/>
      <c r="BD42" s="22">
        <v>15</v>
      </c>
      <c r="BE42" s="22">
        <f t="shared" si="46"/>
        <v>124.80561810785443</v>
      </c>
      <c r="BF42" s="22">
        <f t="shared" si="41"/>
        <v>806.9780176395027</v>
      </c>
      <c r="BG42" s="22">
        <f t="shared" si="37"/>
        <v>12371.849867170644</v>
      </c>
      <c r="BH42" s="22"/>
      <c r="BI42" s="22">
        <f>BI41-2</f>
        <v>10</v>
      </c>
      <c r="BJ42" s="23"/>
      <c r="BK42" s="23"/>
      <c r="BL42" s="23"/>
      <c r="BM42" s="23"/>
      <c r="CA42" s="1">
        <v>15</v>
      </c>
      <c r="CB42" s="22">
        <f t="shared" si="42"/>
        <v>124.80561810785443</v>
      </c>
      <c r="CC42" s="22">
        <f t="shared" si="43"/>
        <v>806.9780176395027</v>
      </c>
      <c r="CD42" s="22">
        <f t="shared" si="44"/>
        <v>12371.849867170644</v>
      </c>
      <c r="CE42" s="22">
        <f t="shared" si="45"/>
        <v>15876686.160671214</v>
      </c>
    </row>
    <row r="43" spans="1:83" ht="15.6" x14ac:dyDescent="0.25">
      <c r="D43" s="51" t="s">
        <v>141</v>
      </c>
      <c r="F43" s="1">
        <v>0.4</v>
      </c>
      <c r="G43" s="1">
        <v>0.2</v>
      </c>
      <c r="H43" s="5">
        <v>2.5</v>
      </c>
      <c r="I43" s="5">
        <v>1</v>
      </c>
      <c r="J43" s="5">
        <v>0</v>
      </c>
      <c r="K43" s="22"/>
      <c r="L43" s="22"/>
      <c r="M43" s="22">
        <f t="shared" si="50"/>
        <v>13.702360000000002</v>
      </c>
      <c r="N43" s="22">
        <f t="shared" si="51"/>
        <v>27.961016494079992</v>
      </c>
      <c r="O43" s="22">
        <f t="shared" si="52"/>
        <v>45.947824494079995</v>
      </c>
      <c r="P43" s="22">
        <f t="shared" si="53"/>
        <v>14.25865649407999</v>
      </c>
      <c r="Q43" s="25">
        <f t="shared" si="54"/>
        <v>15.47565639941927</v>
      </c>
      <c r="R43" s="5">
        <f t="shared" si="55"/>
        <v>1.4323826509068802</v>
      </c>
      <c r="S43" s="22">
        <f t="shared" si="56"/>
        <v>27.961016494079992</v>
      </c>
      <c r="T43" s="5">
        <f t="shared" si="57"/>
        <v>0</v>
      </c>
      <c r="U43" s="5">
        <f t="shared" si="58"/>
        <v>1.4323826509068802</v>
      </c>
      <c r="V43" s="5"/>
      <c r="W43" s="24">
        <f t="shared" si="59"/>
        <v>0.13774</v>
      </c>
      <c r="X43" s="24">
        <f t="shared" si="60"/>
        <v>0.13702360000000002</v>
      </c>
      <c r="Y43" s="5">
        <f t="shared" si="61"/>
        <v>0.29375999999999997</v>
      </c>
      <c r="Z43" s="5">
        <f t="shared" si="62"/>
        <v>0.27961016494079993</v>
      </c>
      <c r="AA43" s="5">
        <f t="shared" si="63"/>
        <v>0.17277999999999999</v>
      </c>
      <c r="AB43" s="5">
        <f t="shared" si="64"/>
        <v>0.17566808</v>
      </c>
      <c r="AC43" s="5">
        <f t="shared" si="65"/>
        <v>0.45527824494079994</v>
      </c>
      <c r="AD43" s="5">
        <f t="shared" si="66"/>
        <v>4.1999999999999954E-3</v>
      </c>
      <c r="AE43" s="5">
        <f t="shared" si="67"/>
        <v>0.45947824494079992</v>
      </c>
      <c r="AF43" s="5">
        <f t="shared" si="68"/>
        <v>1.4323826509068802</v>
      </c>
      <c r="AG43" s="24">
        <f t="shared" si="69"/>
        <v>1.4323826509068802</v>
      </c>
      <c r="AH43" s="24">
        <f t="shared" si="70"/>
        <v>0.45947824494079992</v>
      </c>
      <c r="AI43" s="24">
        <f t="shared" si="71"/>
        <v>0</v>
      </c>
      <c r="AJ43" s="24">
        <f t="shared" si="72"/>
        <v>0.27961016494079993</v>
      </c>
      <c r="AK43" s="24">
        <f t="shared" si="73"/>
        <v>0.17986807999999999</v>
      </c>
      <c r="AL43" s="24">
        <f t="shared" si="74"/>
        <v>0.1868736852404029</v>
      </c>
      <c r="AM43" s="24">
        <f t="shared" si="75"/>
        <v>1</v>
      </c>
      <c r="AN43" s="25">
        <f t="shared" si="76"/>
        <v>15.47565639941927</v>
      </c>
      <c r="AO43" s="5">
        <f t="shared" si="77"/>
        <v>5.3512082170025916</v>
      </c>
      <c r="AP43" s="24">
        <f t="shared" si="78"/>
        <v>3.6049858856557426E-2</v>
      </c>
      <c r="AQ43" s="25">
        <f t="shared" si="79"/>
        <v>4.6996384001760028</v>
      </c>
      <c r="AR43" s="25">
        <f t="shared" si="80"/>
        <v>3.9103112828042916</v>
      </c>
      <c r="AW43" s="5"/>
      <c r="AX43" s="5"/>
      <c r="BB43" s="5"/>
      <c r="BC43" s="5"/>
      <c r="BD43" s="22">
        <v>14</v>
      </c>
      <c r="BE43" s="22">
        <f t="shared" si="46"/>
        <v>145.20770955171378</v>
      </c>
      <c r="BF43" s="22">
        <f t="shared" si="41"/>
        <v>1065.8819023297606</v>
      </c>
      <c r="BG43" s="22"/>
      <c r="BH43" s="22"/>
      <c r="BI43" s="22">
        <f>BI42-2</f>
        <v>8</v>
      </c>
      <c r="BJ43" s="23"/>
      <c r="BK43" s="23"/>
      <c r="BL43" s="23"/>
      <c r="BM43" s="23"/>
      <c r="CA43" s="1">
        <v>14</v>
      </c>
      <c r="CB43" s="22">
        <f t="shared" si="42"/>
        <v>145.20770955171378</v>
      </c>
      <c r="CC43" s="22">
        <f t="shared" si="43"/>
        <v>1065.8819023297606</v>
      </c>
      <c r="CD43" s="22">
        <f t="shared" si="44"/>
        <v>19982.305290446577</v>
      </c>
      <c r="CE43" s="22"/>
    </row>
    <row r="44" spans="1:83" ht="15.6" x14ac:dyDescent="0.3">
      <c r="B44" s="9"/>
      <c r="D44" s="51" t="s">
        <v>142</v>
      </c>
      <c r="F44" s="1">
        <v>0.2</v>
      </c>
      <c r="G44" s="1">
        <v>0.15</v>
      </c>
      <c r="H44" s="5">
        <v>2.5</v>
      </c>
      <c r="I44" s="5">
        <v>1</v>
      </c>
      <c r="J44" s="5">
        <v>0</v>
      </c>
      <c r="K44" s="22"/>
      <c r="L44" s="22"/>
      <c r="M44" s="22">
        <f t="shared" si="50"/>
        <v>10.986309999999998</v>
      </c>
      <c r="N44" s="22">
        <f t="shared" si="51"/>
        <v>30.518295340867496</v>
      </c>
      <c r="O44" s="22">
        <f t="shared" si="52"/>
        <v>47.872493340867493</v>
      </c>
      <c r="P44" s="22">
        <f t="shared" si="53"/>
        <v>19.5319853408675</v>
      </c>
      <c r="Q44" s="25">
        <f t="shared" si="54"/>
        <v>16.120216583734578</v>
      </c>
      <c r="R44" s="5">
        <f t="shared" si="55"/>
        <v>1.3813789264670113</v>
      </c>
      <c r="S44" s="22">
        <f t="shared" si="56"/>
        <v>30.518295340867496</v>
      </c>
      <c r="T44" s="5">
        <f t="shared" si="57"/>
        <v>0</v>
      </c>
      <c r="U44" s="5">
        <f t="shared" si="58"/>
        <v>1.3813789264670113</v>
      </c>
      <c r="V44" s="5"/>
      <c r="W44" s="24">
        <f t="shared" si="59"/>
        <v>0.11391499999999999</v>
      </c>
      <c r="X44" s="24">
        <f t="shared" si="60"/>
        <v>0.10986309999999998</v>
      </c>
      <c r="Y44" s="5">
        <f t="shared" si="61"/>
        <v>0.31198499999999996</v>
      </c>
      <c r="Z44" s="5">
        <f t="shared" si="62"/>
        <v>0.30518295340867496</v>
      </c>
      <c r="AA44" s="5">
        <f t="shared" si="63"/>
        <v>0.157055</v>
      </c>
      <c r="AB44" s="5">
        <f t="shared" si="64"/>
        <v>0.14994198</v>
      </c>
      <c r="AC44" s="5">
        <f t="shared" si="65"/>
        <v>0.45512493340867499</v>
      </c>
      <c r="AD44" s="5">
        <f t="shared" si="66"/>
        <v>2.3599999999999996E-2</v>
      </c>
      <c r="AE44" s="5">
        <f t="shared" si="67"/>
        <v>0.478724933408675</v>
      </c>
      <c r="AF44" s="5">
        <f t="shared" si="68"/>
        <v>1.3813789264670113</v>
      </c>
      <c r="AG44" s="24">
        <f t="shared" si="69"/>
        <v>1.3813789264670113</v>
      </c>
      <c r="AH44" s="24">
        <f t="shared" si="70"/>
        <v>0.47872493340867495</v>
      </c>
      <c r="AI44" s="24">
        <f t="shared" si="71"/>
        <v>0</v>
      </c>
      <c r="AJ44" s="24">
        <f t="shared" si="72"/>
        <v>0.30518295340867496</v>
      </c>
      <c r="AK44" s="24">
        <f t="shared" si="73"/>
        <v>0.17354197999999998</v>
      </c>
      <c r="AL44" s="24">
        <f t="shared" si="74"/>
        <v>0.26768490201971568</v>
      </c>
      <c r="AM44" s="24">
        <f t="shared" si="75"/>
        <v>1</v>
      </c>
      <c r="AN44" s="25">
        <f t="shared" si="76"/>
        <v>16.120216583734578</v>
      </c>
      <c r="AO44" s="5">
        <f t="shared" si="77"/>
        <v>3.7357355325417174</v>
      </c>
      <c r="AP44" s="24">
        <f t="shared" si="78"/>
        <v>0.39171250087519111</v>
      </c>
      <c r="AQ44" s="25">
        <f t="shared" si="79"/>
        <v>7.5161955987340008</v>
      </c>
      <c r="AR44" s="25">
        <f t="shared" si="80"/>
        <v>7.0967294216456258</v>
      </c>
      <c r="AW44" s="5"/>
      <c r="AX44" s="5"/>
      <c r="BD44" s="22">
        <v>13</v>
      </c>
      <c r="BE44" s="22">
        <f t="shared" si="46"/>
        <v>170.8520920479078</v>
      </c>
      <c r="BF44" s="22"/>
      <c r="BG44" s="22"/>
      <c r="BH44" s="22"/>
      <c r="CA44" s="1">
        <v>13</v>
      </c>
      <c r="CB44" s="22"/>
      <c r="CC44" s="22"/>
      <c r="CD44" s="22"/>
      <c r="CE44" s="22"/>
    </row>
    <row r="45" spans="1:83" ht="15.6" x14ac:dyDescent="0.25">
      <c r="D45" s="51" t="s">
        <v>143</v>
      </c>
      <c r="F45" s="1">
        <v>0.1</v>
      </c>
      <c r="G45" s="1">
        <v>0.05</v>
      </c>
      <c r="H45" s="5">
        <v>2.5</v>
      </c>
      <c r="I45" s="5">
        <v>1</v>
      </c>
      <c r="J45" s="5">
        <v>0</v>
      </c>
      <c r="K45" s="22"/>
      <c r="L45" s="22"/>
      <c r="M45" s="22">
        <f t="shared" si="50"/>
        <v>5.7423100000000007</v>
      </c>
      <c r="N45" s="22">
        <f t="shared" si="51"/>
        <v>30.454126413667503</v>
      </c>
      <c r="O45" s="22">
        <f t="shared" si="52"/>
        <v>47.903064413667494</v>
      </c>
      <c r="P45" s="22">
        <f t="shared" si="53"/>
        <v>24.711816413667503</v>
      </c>
      <c r="Q45" s="25">
        <f t="shared" si="54"/>
        <v>21.993883925397952</v>
      </c>
      <c r="R45" s="5">
        <f t="shared" si="55"/>
        <v>1.3805687930378112</v>
      </c>
      <c r="S45" s="22">
        <f t="shared" si="56"/>
        <v>30.454126413667503</v>
      </c>
      <c r="T45" s="5">
        <f t="shared" si="57"/>
        <v>0</v>
      </c>
      <c r="U45" s="5">
        <f t="shared" si="58"/>
        <v>1.3805687930378112</v>
      </c>
      <c r="V45" s="5"/>
      <c r="W45" s="24">
        <f t="shared" si="59"/>
        <v>6.7915000000000003E-2</v>
      </c>
      <c r="X45" s="24">
        <f t="shared" si="60"/>
        <v>5.7423100000000005E-2</v>
      </c>
      <c r="Y45" s="5">
        <f t="shared" si="61"/>
        <v>0.31153500000000001</v>
      </c>
      <c r="Z45" s="5">
        <f t="shared" si="62"/>
        <v>0.30454126413667504</v>
      </c>
      <c r="AA45" s="5">
        <f t="shared" si="63"/>
        <v>0.15170499999999998</v>
      </c>
      <c r="AB45" s="5">
        <f t="shared" si="64"/>
        <v>0.14118937999999998</v>
      </c>
      <c r="AC45" s="5">
        <f t="shared" si="65"/>
        <v>0.44573064413667501</v>
      </c>
      <c r="AD45" s="5">
        <f t="shared" si="66"/>
        <v>3.3299999999999996E-2</v>
      </c>
      <c r="AE45" s="5">
        <f t="shared" si="67"/>
        <v>0.47903064413667501</v>
      </c>
      <c r="AF45" s="5">
        <f t="shared" si="68"/>
        <v>1.3805687930378112</v>
      </c>
      <c r="AG45" s="24">
        <f t="shared" si="69"/>
        <v>1.3805687930378112</v>
      </c>
      <c r="AH45" s="24">
        <f t="shared" si="70"/>
        <v>0.47903064413667495</v>
      </c>
      <c r="AI45" s="24">
        <f t="shared" si="71"/>
        <v>0</v>
      </c>
      <c r="AJ45" s="24">
        <f t="shared" si="72"/>
        <v>0.30454126413667504</v>
      </c>
      <c r="AK45" s="24">
        <f t="shared" si="73"/>
        <v>0.17448937999999992</v>
      </c>
      <c r="AL45" s="24">
        <f t="shared" si="74"/>
        <v>0.43711958620023522</v>
      </c>
      <c r="AM45" s="24">
        <f t="shared" si="75"/>
        <v>1</v>
      </c>
      <c r="AN45" s="25">
        <f t="shared" si="76"/>
        <v>21.993883925397952</v>
      </c>
      <c r="AO45" s="5">
        <f t="shared" si="77"/>
        <v>2.2877034833710725</v>
      </c>
      <c r="AP45" s="24">
        <f t="shared" si="78"/>
        <v>2.1739493917529118</v>
      </c>
      <c r="AQ45" s="25">
        <f t="shared" si="79"/>
        <v>10.67682973988401</v>
      </c>
      <c r="AR45" s="25">
        <f t="shared" si="80"/>
        <v>11.05024184516655</v>
      </c>
      <c r="AT45" s="5"/>
      <c r="AW45" s="5"/>
      <c r="AX45" s="5"/>
      <c r="BA45" s="38"/>
      <c r="BB45" s="38"/>
      <c r="BD45" s="22">
        <v>12</v>
      </c>
      <c r="BE45" s="22"/>
      <c r="BF45" s="22"/>
      <c r="BG45" s="22"/>
      <c r="BH45" s="22"/>
      <c r="CA45" s="1">
        <v>12</v>
      </c>
      <c r="CB45" s="22"/>
      <c r="CC45" s="22"/>
      <c r="CD45" s="22"/>
      <c r="CE45" s="22"/>
    </row>
    <row r="46" spans="1:83" ht="15.6" x14ac:dyDescent="0.25">
      <c r="D46" s="51" t="s">
        <v>144</v>
      </c>
      <c r="F46" s="1">
        <v>0.6</v>
      </c>
      <c r="G46" s="1">
        <v>0.25</v>
      </c>
      <c r="H46" s="5">
        <v>2.5</v>
      </c>
      <c r="I46" s="5">
        <v>1</v>
      </c>
      <c r="J46" s="5">
        <v>0</v>
      </c>
      <c r="K46" s="22"/>
      <c r="L46" s="22"/>
      <c r="M46" s="22">
        <f t="shared" si="50"/>
        <v>16.573450000000005</v>
      </c>
      <c r="N46" s="22">
        <f t="shared" si="51"/>
        <v>26.704504999187499</v>
      </c>
      <c r="O46" s="22">
        <f t="shared" si="52"/>
        <v>43.413074999187508</v>
      </c>
      <c r="P46" s="22">
        <f t="shared" si="53"/>
        <v>10.131054999187494</v>
      </c>
      <c r="Q46" s="25">
        <f t="shared" si="54"/>
        <v>11.25889492484162</v>
      </c>
      <c r="R46" s="5">
        <f t="shared" si="55"/>
        <v>1.4995535125215311</v>
      </c>
      <c r="S46" s="22">
        <f t="shared" si="56"/>
        <v>26.704504999187499</v>
      </c>
      <c r="T46" s="5">
        <f t="shared" si="57"/>
        <v>0</v>
      </c>
      <c r="U46" s="5">
        <f t="shared" si="58"/>
        <v>1.4995535125215311</v>
      </c>
      <c r="V46" s="5"/>
      <c r="W46" s="24">
        <f t="shared" si="59"/>
        <v>0.16292500000000001</v>
      </c>
      <c r="X46" s="24">
        <f t="shared" si="60"/>
        <v>0.16573450000000003</v>
      </c>
      <c r="Y46" s="5">
        <f t="shared" si="61"/>
        <v>0.28457500000000002</v>
      </c>
      <c r="Z46" s="5">
        <f t="shared" si="62"/>
        <v>0.26704504999187501</v>
      </c>
      <c r="AA46" s="5">
        <f t="shared" si="63"/>
        <v>0.17682500000000001</v>
      </c>
      <c r="AB46" s="5">
        <f t="shared" si="64"/>
        <v>0.18228570000000002</v>
      </c>
      <c r="AC46" s="5">
        <f t="shared" si="65"/>
        <v>0.44933074999187506</v>
      </c>
      <c r="AD46" s="5">
        <f t="shared" si="66"/>
        <v>-1.5200000000000005E-2</v>
      </c>
      <c r="AE46" s="5">
        <f t="shared" si="67"/>
        <v>0.43413074999187506</v>
      </c>
      <c r="AF46" s="5">
        <f t="shared" si="68"/>
        <v>1.4995535125215311</v>
      </c>
      <c r="AG46" s="24">
        <f t="shared" si="69"/>
        <v>1.4995535125215311</v>
      </c>
      <c r="AH46" s="24">
        <f t="shared" si="70"/>
        <v>0.43413074999187506</v>
      </c>
      <c r="AI46" s="24">
        <f t="shared" si="71"/>
        <v>0</v>
      </c>
      <c r="AJ46" s="24">
        <f t="shared" si="72"/>
        <v>0.26704504999187501</v>
      </c>
      <c r="AK46" s="24">
        <f t="shared" si="73"/>
        <v>0.16708570000000006</v>
      </c>
      <c r="AL46" s="24">
        <f t="shared" si="74"/>
        <v>0.12498458284884444</v>
      </c>
      <c r="AM46" s="24">
        <f t="shared" si="75"/>
        <v>1</v>
      </c>
      <c r="AN46" s="25">
        <f t="shared" si="76"/>
        <v>11.25889492484162</v>
      </c>
      <c r="AO46" s="5">
        <f t="shared" si="77"/>
        <v>8.0009868193855045</v>
      </c>
      <c r="AP46" s="24">
        <f t="shared" si="78"/>
        <v>8.5236251068419324E-4</v>
      </c>
      <c r="AQ46" s="25">
        <f t="shared" si="79"/>
        <v>3.0606831832700081</v>
      </c>
      <c r="AR46" s="25">
        <f t="shared" si="80"/>
        <v>2.2021816145275341</v>
      </c>
      <c r="AT46" s="5"/>
      <c r="AW46" s="5"/>
      <c r="AX46" s="5" t="s">
        <v>108</v>
      </c>
      <c r="BA46" s="38"/>
      <c r="BB46" s="38"/>
      <c r="BD46" s="22">
        <v>11</v>
      </c>
      <c r="BE46" s="22"/>
      <c r="BF46" s="22"/>
      <c r="BG46" s="22"/>
      <c r="BH46" s="22"/>
      <c r="CA46" s="1">
        <v>11</v>
      </c>
      <c r="CB46" s="22"/>
      <c r="CC46" s="22"/>
      <c r="CD46" s="22"/>
      <c r="CE46" s="22"/>
    </row>
    <row r="47" spans="1:83" ht="15.6" x14ac:dyDescent="0.25">
      <c r="D47" s="51" t="s">
        <v>145</v>
      </c>
      <c r="F47" s="1">
        <v>0.3</v>
      </c>
      <c r="G47" s="1">
        <v>0.35</v>
      </c>
      <c r="H47" s="5">
        <v>2.5</v>
      </c>
      <c r="I47" s="5">
        <v>1</v>
      </c>
      <c r="J47" s="5">
        <v>0</v>
      </c>
      <c r="K47" s="22"/>
      <c r="L47" s="22"/>
      <c r="M47" s="22">
        <f t="shared" si="50"/>
        <v>21.799209999999999</v>
      </c>
      <c r="N47" s="22">
        <f t="shared" si="51"/>
        <v>35.789791318667504</v>
      </c>
      <c r="O47" s="22">
        <f t="shared" si="52"/>
        <v>47.724069318667496</v>
      </c>
      <c r="P47" s="22">
        <f t="shared" si="53"/>
        <v>13.990581318667505</v>
      </c>
      <c r="Q47" s="25">
        <f t="shared" si="54"/>
        <v>4.3238383385703605</v>
      </c>
      <c r="R47" s="5">
        <f t="shared" si="55"/>
        <v>1.3853121630553114</v>
      </c>
      <c r="S47" s="22">
        <f t="shared" si="56"/>
        <v>35.789791318667504</v>
      </c>
      <c r="T47" s="5">
        <f t="shared" si="57"/>
        <v>0</v>
      </c>
      <c r="U47" s="5">
        <f t="shared" si="58"/>
        <v>1.3853121630553114</v>
      </c>
      <c r="V47" s="5"/>
      <c r="W47" s="24">
        <f t="shared" si="59"/>
        <v>0.20876499999999998</v>
      </c>
      <c r="X47" s="24">
        <f t="shared" si="60"/>
        <v>0.21799209999999999</v>
      </c>
      <c r="Y47" s="5">
        <f t="shared" si="61"/>
        <v>0.34778500000000001</v>
      </c>
      <c r="Z47" s="5">
        <f t="shared" si="62"/>
        <v>0.35789791318667502</v>
      </c>
      <c r="AA47" s="5">
        <f t="shared" si="63"/>
        <v>0.12985499999999997</v>
      </c>
      <c r="AB47" s="5">
        <f t="shared" si="64"/>
        <v>0.10544277999999996</v>
      </c>
      <c r="AC47" s="5">
        <f t="shared" si="65"/>
        <v>0.46334069318667498</v>
      </c>
      <c r="AD47" s="5">
        <f t="shared" si="66"/>
        <v>1.3899999999999996E-2</v>
      </c>
      <c r="AE47" s="5">
        <f t="shared" si="67"/>
        <v>0.47724069318667495</v>
      </c>
      <c r="AF47" s="5">
        <f t="shared" si="68"/>
        <v>1.3853121630553114</v>
      </c>
      <c r="AG47" s="24">
        <f t="shared" si="69"/>
        <v>1.3853121630553114</v>
      </c>
      <c r="AH47" s="24">
        <f t="shared" si="70"/>
        <v>0.47724069318667495</v>
      </c>
      <c r="AI47" s="24">
        <f t="shared" si="71"/>
        <v>0</v>
      </c>
      <c r="AJ47" s="24">
        <f t="shared" si="72"/>
        <v>0.35789791318667502</v>
      </c>
      <c r="AK47" s="24">
        <f t="shared" si="73"/>
        <v>0.11934277999999993</v>
      </c>
      <c r="AL47" s="24">
        <f t="shared" si="74"/>
        <v>0.12989946744484457</v>
      </c>
      <c r="AM47" s="24">
        <f t="shared" si="75"/>
        <v>1</v>
      </c>
      <c r="AN47" s="25">
        <f t="shared" si="76"/>
        <v>4.3238383385703605</v>
      </c>
      <c r="AO47" s="5">
        <f t="shared" si="77"/>
        <v>7.6982609680413123</v>
      </c>
      <c r="AP47" s="24">
        <f t="shared" si="78"/>
        <v>1.2112548978618746E-2</v>
      </c>
      <c r="AQ47" s="25">
        <f t="shared" si="79"/>
        <v>5.4674991224760063</v>
      </c>
      <c r="AR47" s="25">
        <f t="shared" si="80"/>
        <v>4.7475426547217356</v>
      </c>
      <c r="AT47" s="5"/>
      <c r="BB47" s="38"/>
      <c r="BD47" s="22">
        <v>10</v>
      </c>
      <c r="BE47" s="22"/>
      <c r="BF47" s="22"/>
      <c r="BG47" s="22"/>
      <c r="BH47" s="22"/>
      <c r="CA47" s="1">
        <v>10</v>
      </c>
      <c r="CB47" s="22"/>
      <c r="CC47" s="22"/>
      <c r="CD47" s="22"/>
      <c r="CE47" s="22"/>
    </row>
    <row r="48" spans="1:83" ht="15.6" x14ac:dyDescent="0.25">
      <c r="D48" s="51" t="s">
        <v>146</v>
      </c>
      <c r="F48" s="1">
        <v>0.1</v>
      </c>
      <c r="G48" s="1">
        <v>0.35</v>
      </c>
      <c r="H48" s="5">
        <v>2.5</v>
      </c>
      <c r="I48" s="5">
        <v>1</v>
      </c>
      <c r="J48" s="5">
        <v>0</v>
      </c>
      <c r="K48" s="22"/>
      <c r="L48" s="22"/>
      <c r="M48" s="22">
        <f t="shared" si="50"/>
        <v>21.51877</v>
      </c>
      <c r="N48" s="22">
        <f t="shared" si="51"/>
        <v>38.183510271907494</v>
      </c>
      <c r="O48" s="22">
        <f t="shared" si="52"/>
        <v>51.121996271907499</v>
      </c>
      <c r="P48" s="22">
        <f t="shared" si="53"/>
        <v>16.664740271907494</v>
      </c>
      <c r="Q48" s="25">
        <f t="shared" si="54"/>
        <v>5.6839620931464907</v>
      </c>
      <c r="R48" s="5">
        <f t="shared" si="55"/>
        <v>1.2952670987944512</v>
      </c>
      <c r="S48" s="22">
        <f t="shared" si="56"/>
        <v>38.183510271907494</v>
      </c>
      <c r="T48" s="5">
        <f t="shared" si="57"/>
        <v>0</v>
      </c>
      <c r="U48" s="5">
        <f t="shared" si="58"/>
        <v>1.2952670987944512</v>
      </c>
      <c r="V48" s="5"/>
      <c r="W48" s="24">
        <f t="shared" si="59"/>
        <v>0.20630499999999999</v>
      </c>
      <c r="X48" s="24">
        <f t="shared" si="60"/>
        <v>0.21518770000000001</v>
      </c>
      <c r="Y48" s="5">
        <f t="shared" si="61"/>
        <v>0.36334499999999997</v>
      </c>
      <c r="Z48" s="5">
        <f t="shared" si="62"/>
        <v>0.38183510271907495</v>
      </c>
      <c r="AA48" s="5">
        <f t="shared" si="63"/>
        <v>0.124135</v>
      </c>
      <c r="AB48" s="5">
        <f t="shared" si="64"/>
        <v>9.6084859999999994E-2</v>
      </c>
      <c r="AC48" s="5">
        <f t="shared" si="65"/>
        <v>0.47791996271907494</v>
      </c>
      <c r="AD48" s="5">
        <f t="shared" si="66"/>
        <v>3.3299999999999996E-2</v>
      </c>
      <c r="AE48" s="5">
        <f t="shared" si="67"/>
        <v>0.51121996271907499</v>
      </c>
      <c r="AF48" s="5">
        <f t="shared" si="68"/>
        <v>1.2952670987944512</v>
      </c>
      <c r="AG48" s="24">
        <f t="shared" si="69"/>
        <v>1.2952670987944512</v>
      </c>
      <c r="AH48" s="24">
        <f t="shared" si="70"/>
        <v>0.51121996271907499</v>
      </c>
      <c r="AI48" s="24">
        <f t="shared" si="71"/>
        <v>0</v>
      </c>
      <c r="AJ48" s="24">
        <f t="shared" si="72"/>
        <v>0.38183510271907495</v>
      </c>
      <c r="AK48" s="24">
        <f t="shared" si="73"/>
        <v>0.12938486000000005</v>
      </c>
      <c r="AL48" s="24">
        <f t="shared" si="74"/>
        <v>0.15025447363131744</v>
      </c>
      <c r="AM48" s="24">
        <f t="shared" si="75"/>
        <v>1</v>
      </c>
      <c r="AN48" s="25">
        <f t="shared" si="76"/>
        <v>5.6839620931464907</v>
      </c>
      <c r="AO48" s="5">
        <f t="shared" si="77"/>
        <v>6.6553758822098104</v>
      </c>
      <c r="AP48" s="24">
        <f t="shared" si="78"/>
        <v>5.4417747950311825E-2</v>
      </c>
      <c r="AQ48" s="25">
        <f t="shared" si="79"/>
        <v>6.3986154743999961</v>
      </c>
      <c r="AR48" s="25">
        <f t="shared" si="80"/>
        <v>5.7944175255774182</v>
      </c>
      <c r="AT48" s="5"/>
      <c r="AX48" s="21" t="s">
        <v>102</v>
      </c>
      <c r="AY48" s="21" t="s">
        <v>68</v>
      </c>
      <c r="AZ48" s="21" t="s">
        <v>106</v>
      </c>
      <c r="BA48" s="39" t="s">
        <v>109</v>
      </c>
      <c r="BB48" s="38"/>
      <c r="BD48" s="22">
        <v>9</v>
      </c>
      <c r="BE48" s="22"/>
      <c r="BF48" s="22"/>
      <c r="BG48" s="22"/>
      <c r="BH48" s="22"/>
      <c r="CA48" s="1">
        <v>9</v>
      </c>
      <c r="CB48" s="22"/>
      <c r="CC48" s="22"/>
      <c r="CD48" s="22"/>
      <c r="CE48" s="22"/>
    </row>
    <row r="49" spans="4:83" ht="15.6" x14ac:dyDescent="0.25">
      <c r="D49" s="51" t="s">
        <v>147</v>
      </c>
      <c r="F49" s="1">
        <v>0.1</v>
      </c>
      <c r="G49" s="1">
        <v>0.45</v>
      </c>
      <c r="H49" s="5">
        <v>2.5</v>
      </c>
      <c r="I49" s="5">
        <v>1</v>
      </c>
      <c r="J49" s="5">
        <v>0</v>
      </c>
      <c r="K49" s="22"/>
      <c r="L49" s="22"/>
      <c r="M49" s="22">
        <f t="shared" si="50"/>
        <v>26.77759</v>
      </c>
      <c r="N49" s="22">
        <f t="shared" si="51"/>
        <v>40.913034946267501</v>
      </c>
      <c r="O49" s="22">
        <f t="shared" si="52"/>
        <v>52.348036946267506</v>
      </c>
      <c r="P49" s="22">
        <f t="shared" si="53"/>
        <v>14.135444946267501</v>
      </c>
      <c r="Q49" s="25">
        <f t="shared" si="54"/>
        <v>3.6716234931984655</v>
      </c>
      <c r="R49" s="5">
        <f t="shared" si="55"/>
        <v>1.2627770209239111</v>
      </c>
      <c r="S49" s="22">
        <f t="shared" si="56"/>
        <v>40.913034946267501</v>
      </c>
      <c r="T49" s="5">
        <f t="shared" si="57"/>
        <v>0</v>
      </c>
      <c r="U49" s="5">
        <f t="shared" si="58"/>
        <v>1.2627770209239111</v>
      </c>
      <c r="V49" s="5"/>
      <c r="W49" s="24">
        <f t="shared" si="59"/>
        <v>0.25243500000000002</v>
      </c>
      <c r="X49" s="24">
        <f t="shared" si="60"/>
        <v>0.26777590000000001</v>
      </c>
      <c r="Y49" s="5">
        <f t="shared" si="61"/>
        <v>0.38061500000000004</v>
      </c>
      <c r="Z49" s="5">
        <f t="shared" si="62"/>
        <v>0.40913034946267501</v>
      </c>
      <c r="AA49" s="5">
        <f t="shared" si="63"/>
        <v>0.11494499999999999</v>
      </c>
      <c r="AB49" s="5">
        <f t="shared" si="64"/>
        <v>8.1050019999999987E-2</v>
      </c>
      <c r="AC49" s="5">
        <f t="shared" si="65"/>
        <v>0.49018036946267501</v>
      </c>
      <c r="AD49" s="5">
        <f t="shared" si="66"/>
        <v>3.3299999999999996E-2</v>
      </c>
      <c r="AE49" s="5">
        <f t="shared" si="67"/>
        <v>0.52348036946267507</v>
      </c>
      <c r="AF49" s="5">
        <f t="shared" si="68"/>
        <v>1.2627770209239111</v>
      </c>
      <c r="AG49" s="24">
        <f t="shared" si="69"/>
        <v>1.2627770209239111</v>
      </c>
      <c r="AH49" s="24">
        <f t="shared" si="70"/>
        <v>0.52348036946267507</v>
      </c>
      <c r="AI49" s="24">
        <f t="shared" si="71"/>
        <v>0</v>
      </c>
      <c r="AJ49" s="24">
        <f t="shared" si="72"/>
        <v>0.40913034946267501</v>
      </c>
      <c r="AK49" s="24">
        <f t="shared" si="73"/>
        <v>0.11435002000000005</v>
      </c>
      <c r="AL49" s="24">
        <f t="shared" si="74"/>
        <v>0.11105980219130634</v>
      </c>
      <c r="AM49" s="24">
        <f t="shared" si="75"/>
        <v>1</v>
      </c>
      <c r="AN49" s="25">
        <f t="shared" si="76"/>
        <v>3.6716234931984655</v>
      </c>
      <c r="AO49" s="5">
        <f t="shared" si="77"/>
        <v>9.0041579425600577</v>
      </c>
      <c r="AP49" s="24">
        <f t="shared" si="78"/>
        <v>1.0559791777710702E-2</v>
      </c>
      <c r="AQ49" s="25">
        <f t="shared" si="79"/>
        <v>4.922664467387996</v>
      </c>
      <c r="AR49" s="25">
        <f t="shared" si="80"/>
        <v>4.1510558917428391</v>
      </c>
      <c r="AT49" s="5"/>
      <c r="AW49" s="1" t="s">
        <v>110</v>
      </c>
      <c r="AX49" s="5">
        <v>0.65</v>
      </c>
      <c r="AY49" s="5">
        <v>0.10299277978339348</v>
      </c>
      <c r="AZ49" s="5">
        <v>2.5</v>
      </c>
      <c r="BA49" s="5">
        <v>1</v>
      </c>
      <c r="BB49" s="38"/>
      <c r="BD49" s="22">
        <v>8</v>
      </c>
      <c r="BE49" s="22"/>
      <c r="BF49" s="22"/>
      <c r="BG49" s="22"/>
      <c r="BH49" s="22"/>
      <c r="CA49" s="1">
        <v>8</v>
      </c>
      <c r="CB49" s="22"/>
      <c r="CC49" s="22"/>
      <c r="CD49" s="22"/>
      <c r="CE49" s="22"/>
    </row>
    <row r="50" spans="4:83" ht="15.6" x14ac:dyDescent="0.25">
      <c r="D50" s="51" t="s">
        <v>148</v>
      </c>
      <c r="F50" s="1">
        <v>0.5</v>
      </c>
      <c r="G50" s="1">
        <v>0.4</v>
      </c>
      <c r="H50" s="5">
        <v>2.5</v>
      </c>
      <c r="I50" s="5">
        <v>1</v>
      </c>
      <c r="J50" s="5">
        <v>0</v>
      </c>
      <c r="K50" s="22"/>
      <c r="L50" s="22"/>
      <c r="M50" s="22">
        <f t="shared" si="50"/>
        <v>24.864099999999997</v>
      </c>
      <c r="N50" s="22">
        <f t="shared" si="51"/>
        <v>36.111510283000001</v>
      </c>
      <c r="O50" s="22">
        <f t="shared" si="52"/>
        <v>44.378990283000007</v>
      </c>
      <c r="P50" s="22">
        <f t="shared" si="53"/>
        <v>11.247410283000004</v>
      </c>
      <c r="Q50" s="25">
        <f t="shared" si="54"/>
        <v>1.3916587486499672</v>
      </c>
      <c r="R50" s="5">
        <f t="shared" si="55"/>
        <v>1.4739567575004997</v>
      </c>
      <c r="S50" s="22">
        <f t="shared" si="56"/>
        <v>36.111510283000001</v>
      </c>
      <c r="T50" s="5">
        <f t="shared" si="57"/>
        <v>0</v>
      </c>
      <c r="U50" s="5">
        <f t="shared" si="58"/>
        <v>1.4739567575004997</v>
      </c>
      <c r="V50" s="5"/>
      <c r="W50" s="24">
        <f t="shared" si="59"/>
        <v>0.23564999999999997</v>
      </c>
      <c r="X50" s="24">
        <f t="shared" si="60"/>
        <v>0.24864099999999997</v>
      </c>
      <c r="Y50" s="5">
        <f t="shared" si="61"/>
        <v>0.34989999999999999</v>
      </c>
      <c r="Z50" s="5">
        <f t="shared" si="62"/>
        <v>0.36111510282999998</v>
      </c>
      <c r="AA50" s="5">
        <f t="shared" si="63"/>
        <v>0.11930000000000002</v>
      </c>
      <c r="AB50" s="5">
        <f t="shared" si="64"/>
        <v>8.8174800000000025E-2</v>
      </c>
      <c r="AC50" s="5">
        <f t="shared" si="65"/>
        <v>0.44928990283000003</v>
      </c>
      <c r="AD50" s="5">
        <f t="shared" si="66"/>
        <v>-5.5000000000000049E-3</v>
      </c>
      <c r="AE50" s="5">
        <f t="shared" si="67"/>
        <v>0.44378990283000003</v>
      </c>
      <c r="AF50" s="5">
        <f t="shared" si="68"/>
        <v>1.4739567575004997</v>
      </c>
      <c r="AG50" s="24">
        <f t="shared" si="69"/>
        <v>1.4739567575004997</v>
      </c>
      <c r="AH50" s="24">
        <f t="shared" si="70"/>
        <v>0.44378990283000008</v>
      </c>
      <c r="AI50" s="24">
        <f t="shared" si="71"/>
        <v>0</v>
      </c>
      <c r="AJ50" s="24">
        <f t="shared" si="72"/>
        <v>0.36111510282999998</v>
      </c>
      <c r="AK50" s="24">
        <f t="shared" si="73"/>
        <v>8.2674800000000104E-2</v>
      </c>
      <c r="AL50" s="24">
        <f t="shared" si="74"/>
        <v>9.7776982423618986E-2</v>
      </c>
      <c r="AM50" s="24">
        <f t="shared" si="75"/>
        <v>1</v>
      </c>
      <c r="AN50" s="25">
        <f t="shared" si="76"/>
        <v>1.3916587486499672</v>
      </c>
      <c r="AO50" s="5">
        <f t="shared" si="77"/>
        <v>10.227355919693839</v>
      </c>
      <c r="AP50" s="24">
        <f t="shared" si="78"/>
        <v>9.8718507853323679E-4</v>
      </c>
      <c r="AQ50" s="25">
        <f t="shared" si="79"/>
        <v>4.3981724118799974</v>
      </c>
      <c r="AR50" s="25">
        <f t="shared" si="80"/>
        <v>3.5880573406300043</v>
      </c>
      <c r="AT50" s="5"/>
      <c r="AW50" s="1" t="s">
        <v>111</v>
      </c>
      <c r="AX50" s="5">
        <v>0.2</v>
      </c>
      <c r="AY50" s="5">
        <v>0.2</v>
      </c>
      <c r="AZ50" s="5">
        <v>2.5</v>
      </c>
      <c r="BA50" s="5">
        <v>1</v>
      </c>
      <c r="BB50" s="38"/>
      <c r="BD50" s="22">
        <v>7</v>
      </c>
      <c r="BE50" s="22"/>
      <c r="CA50" s="1">
        <v>7</v>
      </c>
      <c r="CB50" s="22"/>
      <c r="CC50" s="22"/>
      <c r="CD50" s="22"/>
      <c r="CE50" s="22"/>
    </row>
    <row r="51" spans="4:83" ht="15.6" x14ac:dyDescent="0.25">
      <c r="D51" s="51" t="s">
        <v>149</v>
      </c>
      <c r="F51" s="1">
        <v>0.25</v>
      </c>
      <c r="G51" s="1">
        <v>0.5</v>
      </c>
      <c r="H51" s="5">
        <v>2.5</v>
      </c>
      <c r="I51" s="5">
        <v>1</v>
      </c>
      <c r="J51" s="5">
        <v>0</v>
      </c>
      <c r="K51" s="22"/>
      <c r="L51" s="22"/>
      <c r="M51" s="22">
        <f t="shared" si="50"/>
        <v>29.791749999999993</v>
      </c>
      <c r="N51" s="22">
        <f t="shared" si="51"/>
        <v>42.063063018749993</v>
      </c>
      <c r="O51" s="22">
        <f t="shared" si="52"/>
        <v>49.843463018750001</v>
      </c>
      <c r="P51" s="22">
        <f t="shared" si="53"/>
        <v>12.27131301875</v>
      </c>
      <c r="Q51" s="25">
        <f t="shared" si="54"/>
        <v>1.1449583141898936</v>
      </c>
      <c r="R51" s="5">
        <f t="shared" si="55"/>
        <v>1.329148230003125</v>
      </c>
      <c r="S51" s="22">
        <f t="shared" si="56"/>
        <v>42.063063018749993</v>
      </c>
      <c r="T51" s="5">
        <f t="shared" si="57"/>
        <v>0</v>
      </c>
      <c r="U51" s="5">
        <f t="shared" si="58"/>
        <v>1.329148230003125</v>
      </c>
      <c r="V51" s="5"/>
      <c r="W51" s="24">
        <f t="shared" si="59"/>
        <v>0.27887499999999998</v>
      </c>
      <c r="X51" s="24">
        <f t="shared" si="60"/>
        <v>0.29791749999999995</v>
      </c>
      <c r="Y51" s="5">
        <f t="shared" si="61"/>
        <v>0.38774999999999998</v>
      </c>
      <c r="Z51" s="5">
        <f t="shared" si="62"/>
        <v>0.42063063018749997</v>
      </c>
      <c r="AA51" s="5">
        <f t="shared" si="63"/>
        <v>0.10150000000000001</v>
      </c>
      <c r="AB51" s="5">
        <f t="shared" si="64"/>
        <v>5.9054000000000009E-2</v>
      </c>
      <c r="AC51" s="5">
        <f t="shared" si="65"/>
        <v>0.47968463018749996</v>
      </c>
      <c r="AD51" s="5">
        <f t="shared" si="66"/>
        <v>1.8749999999999996E-2</v>
      </c>
      <c r="AE51" s="5">
        <f t="shared" si="67"/>
        <v>0.49843463018749995</v>
      </c>
      <c r="AF51" s="5">
        <f t="shared" si="68"/>
        <v>1.329148230003125</v>
      </c>
      <c r="AG51" s="24">
        <f t="shared" si="69"/>
        <v>1.329148230003125</v>
      </c>
      <c r="AH51" s="24">
        <f t="shared" si="70"/>
        <v>0.49843463018750001</v>
      </c>
      <c r="AI51" s="24">
        <f t="shared" si="71"/>
        <v>0</v>
      </c>
      <c r="AJ51" s="24">
        <f t="shared" si="72"/>
        <v>0.42063063018749997</v>
      </c>
      <c r="AK51" s="24">
        <f t="shared" si="73"/>
        <v>7.780400000000004E-2</v>
      </c>
      <c r="AL51" s="24">
        <f t="shared" si="74"/>
        <v>9.0375802115472623E-2</v>
      </c>
      <c r="AM51" s="24">
        <f t="shared" si="75"/>
        <v>1</v>
      </c>
      <c r="AN51" s="25">
        <f t="shared" si="76"/>
        <v>1.1449583141898936</v>
      </c>
      <c r="AO51" s="5">
        <f t="shared" si="77"/>
        <v>11.064908709991929</v>
      </c>
      <c r="AP51" s="24">
        <f t="shared" si="78"/>
        <v>2.2751585853750329E-3</v>
      </c>
      <c r="AQ51" s="25">
        <f t="shared" si="79"/>
        <v>4.8607948590000021</v>
      </c>
      <c r="AR51" s="25">
        <f t="shared" si="80"/>
        <v>4.084071573158619</v>
      </c>
      <c r="AT51" s="5"/>
      <c r="AW51" s="1" t="s">
        <v>112</v>
      </c>
      <c r="AX51" s="5">
        <v>0.33</v>
      </c>
      <c r="AY51" s="5">
        <v>0.34</v>
      </c>
      <c r="AZ51" s="5">
        <v>2.5</v>
      </c>
      <c r="BA51" s="5">
        <v>1</v>
      </c>
      <c r="BB51" s="38"/>
    </row>
    <row r="52" spans="4:83" x14ac:dyDescent="0.25">
      <c r="H52" s="5"/>
      <c r="I52" s="5"/>
      <c r="J52" s="5"/>
      <c r="K52" s="22"/>
      <c r="L52" s="22"/>
      <c r="M52" s="22"/>
      <c r="N52" s="22"/>
      <c r="O52" s="22"/>
      <c r="P52" s="22"/>
      <c r="Q52" s="25"/>
      <c r="R52" s="5"/>
      <c r="S52" s="5"/>
      <c r="T52" s="5"/>
      <c r="U52" s="5"/>
      <c r="V52" s="5"/>
      <c r="W52" s="24"/>
      <c r="X52" s="24"/>
      <c r="Y52" s="5"/>
      <c r="Z52" s="5"/>
      <c r="AA52" s="5"/>
      <c r="AB52" s="5"/>
      <c r="AC52" s="5"/>
      <c r="AD52" s="5"/>
      <c r="AE52" s="5"/>
      <c r="AF52" s="5"/>
      <c r="AG52" s="24"/>
      <c r="AH52" s="24"/>
      <c r="AI52" s="24"/>
      <c r="AJ52" s="24"/>
      <c r="AK52" s="24"/>
      <c r="AL52" s="24"/>
      <c r="AM52" s="24"/>
      <c r="AN52" s="25"/>
      <c r="AO52" s="5"/>
      <c r="AP52" s="24"/>
      <c r="AQ52" s="25"/>
      <c r="AR52" s="25"/>
      <c r="AT52" s="5"/>
      <c r="AW52" s="1" t="s">
        <v>113</v>
      </c>
      <c r="AX52" s="5">
        <v>0.1</v>
      </c>
      <c r="AY52" s="5">
        <v>0.34</v>
      </c>
      <c r="AZ52" s="5">
        <v>2.5</v>
      </c>
      <c r="BA52" s="5">
        <v>1</v>
      </c>
      <c r="BB52" s="38"/>
    </row>
    <row r="53" spans="4:83" x14ac:dyDescent="0.25">
      <c r="H53" s="5"/>
      <c r="I53" s="5"/>
      <c r="J53" s="5"/>
      <c r="K53" s="22"/>
      <c r="L53" s="22"/>
      <c r="M53" s="22"/>
      <c r="N53" s="22"/>
      <c r="O53" s="22"/>
      <c r="P53" s="22"/>
      <c r="Q53" s="25"/>
      <c r="R53" s="5"/>
      <c r="S53" s="5"/>
      <c r="T53" s="5"/>
      <c r="U53" s="5"/>
      <c r="V53" s="5"/>
      <c r="W53" s="24"/>
      <c r="X53" s="24"/>
      <c r="Y53" s="5"/>
      <c r="Z53" s="5"/>
      <c r="AA53" s="5"/>
      <c r="AB53" s="5"/>
      <c r="AC53" s="5"/>
      <c r="AD53" s="5"/>
      <c r="AE53" s="5"/>
      <c r="AF53" s="5"/>
      <c r="AG53" s="24"/>
      <c r="AH53" s="24"/>
      <c r="AI53" s="24"/>
      <c r="AJ53" s="24"/>
      <c r="AK53" s="24"/>
      <c r="AL53" s="24"/>
      <c r="AM53" s="24"/>
      <c r="AN53" s="25"/>
      <c r="AO53" s="5"/>
      <c r="AP53" s="24"/>
      <c r="AQ53" s="25"/>
      <c r="AR53" s="25"/>
      <c r="AT53" s="5"/>
      <c r="AW53" s="21"/>
      <c r="AX53" s="21" t="s">
        <v>114</v>
      </c>
      <c r="AY53" s="21"/>
      <c r="AZ53" s="21"/>
      <c r="BA53" s="38"/>
      <c r="BB53" s="38"/>
    </row>
    <row r="54" spans="4:83" x14ac:dyDescent="0.25">
      <c r="H54" s="5"/>
      <c r="I54" s="5"/>
      <c r="J54" s="5"/>
      <c r="K54" s="22"/>
      <c r="L54" s="22"/>
      <c r="M54" s="22"/>
      <c r="N54" s="22"/>
      <c r="O54" s="22"/>
      <c r="P54" s="22"/>
      <c r="Q54" s="25"/>
      <c r="R54" s="5"/>
      <c r="S54" s="5"/>
      <c r="T54" s="5"/>
      <c r="U54" s="5"/>
      <c r="V54" s="5"/>
      <c r="W54" s="24"/>
      <c r="X54" s="24"/>
      <c r="Y54" s="5"/>
      <c r="Z54" s="5"/>
      <c r="AA54" s="5"/>
      <c r="AB54" s="5"/>
      <c r="AC54" s="5"/>
      <c r="AD54" s="5"/>
      <c r="AE54" s="5"/>
      <c r="AF54" s="5"/>
      <c r="AG54" s="24"/>
      <c r="AH54" s="24"/>
      <c r="AI54" s="24"/>
      <c r="AJ54" s="24"/>
      <c r="AK54" s="24"/>
      <c r="AL54" s="24"/>
      <c r="AM54" s="24"/>
      <c r="AN54" s="25"/>
      <c r="AO54" s="5"/>
      <c r="AP54" s="24"/>
      <c r="AQ54" s="25"/>
      <c r="AR54" s="25"/>
      <c r="AT54" s="5"/>
      <c r="AW54" s="21" t="s">
        <v>99</v>
      </c>
      <c r="AX54" s="21" t="s">
        <v>100</v>
      </c>
      <c r="AY54" s="21" t="s">
        <v>106</v>
      </c>
      <c r="AZ54" s="21" t="s">
        <v>109</v>
      </c>
      <c r="BA54" s="38"/>
      <c r="BB54" s="38"/>
    </row>
    <row r="55" spans="4:83" x14ac:dyDescent="0.25">
      <c r="H55" s="5"/>
      <c r="I55" s="5"/>
      <c r="J55" s="5"/>
      <c r="K55" s="22"/>
      <c r="L55" s="22"/>
      <c r="M55" s="22"/>
      <c r="N55" s="22"/>
      <c r="O55" s="22"/>
      <c r="P55" s="22"/>
      <c r="Q55" s="25"/>
      <c r="R55" s="5"/>
      <c r="S55" s="5"/>
      <c r="T55" s="5"/>
      <c r="U55" s="5"/>
      <c r="V55" s="5"/>
      <c r="W55" s="24"/>
      <c r="X55" s="24"/>
      <c r="Y55" s="5"/>
      <c r="Z55" s="5"/>
      <c r="AA55" s="5"/>
      <c r="AB55" s="5"/>
      <c r="AC55" s="5"/>
      <c r="AD55" s="5"/>
      <c r="AE55" s="5"/>
      <c r="AF55" s="5"/>
      <c r="AG55" s="24"/>
      <c r="AH55" s="24"/>
      <c r="AI55" s="24"/>
      <c r="AJ55" s="24"/>
      <c r="AK55" s="24"/>
      <c r="AL55" s="24"/>
      <c r="AM55" s="24"/>
      <c r="AN55" s="25"/>
      <c r="AO55" s="5"/>
      <c r="AP55" s="24"/>
      <c r="AQ55" s="25"/>
      <c r="AR55" s="25"/>
      <c r="AT55" s="5"/>
      <c r="AW55" s="5">
        <v>0.2</v>
      </c>
      <c r="AX55" s="5">
        <v>0.2</v>
      </c>
      <c r="AY55" s="5">
        <v>0.5</v>
      </c>
      <c r="AZ55" s="5">
        <v>1</v>
      </c>
      <c r="BA55" s="38"/>
      <c r="BB55" s="38"/>
    </row>
    <row r="56" spans="4:83" x14ac:dyDescent="0.25">
      <c r="H56" s="5"/>
      <c r="I56" s="5"/>
      <c r="J56" s="5"/>
      <c r="K56" s="22"/>
      <c r="L56" s="22"/>
      <c r="M56" s="22"/>
      <c r="N56" s="22"/>
      <c r="O56" s="22"/>
      <c r="P56" s="22"/>
      <c r="Q56" s="25"/>
      <c r="R56" s="5"/>
      <c r="S56" s="5"/>
      <c r="T56" s="5"/>
      <c r="U56" s="5"/>
      <c r="V56" s="5"/>
      <c r="W56" s="24"/>
      <c r="X56" s="24"/>
      <c r="Y56" s="5"/>
      <c r="Z56" s="5"/>
      <c r="AA56" s="5"/>
      <c r="AB56" s="5"/>
      <c r="AC56" s="5"/>
      <c r="AD56" s="5"/>
      <c r="AE56" s="5"/>
      <c r="AF56" s="5"/>
      <c r="AG56" s="24"/>
      <c r="AH56" s="24"/>
      <c r="AI56" s="24"/>
      <c r="AJ56" s="24"/>
      <c r="AK56" s="24"/>
      <c r="AL56" s="24"/>
      <c r="AM56" s="24"/>
      <c r="AN56" s="25"/>
      <c r="AO56" s="5"/>
      <c r="AP56" s="24"/>
      <c r="AQ56" s="25"/>
      <c r="AR56" s="25"/>
      <c r="AT56" s="5"/>
      <c r="AW56" s="5">
        <v>0.2</v>
      </c>
      <c r="AX56" s="5">
        <v>0.2</v>
      </c>
      <c r="AY56" s="5">
        <v>2.5</v>
      </c>
      <c r="AZ56" s="5">
        <v>1</v>
      </c>
      <c r="BA56" s="38"/>
      <c r="BB56" s="38"/>
    </row>
    <row r="57" spans="4:83" x14ac:dyDescent="0.25">
      <c r="H57" s="5"/>
      <c r="I57" s="5"/>
      <c r="J57" s="5"/>
      <c r="K57" s="22"/>
      <c r="L57" s="22"/>
      <c r="M57" s="22"/>
      <c r="N57" s="22"/>
      <c r="O57" s="22"/>
      <c r="P57" s="22"/>
      <c r="Q57" s="25"/>
      <c r="R57" s="5"/>
      <c r="S57" s="5"/>
      <c r="T57" s="5"/>
      <c r="U57" s="5"/>
      <c r="V57" s="5"/>
      <c r="W57" s="24"/>
      <c r="X57" s="24"/>
      <c r="Y57" s="5"/>
      <c r="Z57" s="5"/>
      <c r="AA57" s="5"/>
      <c r="AB57" s="5"/>
      <c r="AC57" s="5"/>
      <c r="AD57" s="5"/>
      <c r="AE57" s="5"/>
      <c r="AF57" s="5"/>
      <c r="AG57" s="24"/>
      <c r="AH57" s="24"/>
      <c r="AI57" s="24"/>
      <c r="AJ57" s="24"/>
      <c r="AK57" s="24"/>
      <c r="AL57" s="24"/>
      <c r="AM57" s="24"/>
      <c r="AN57" s="25"/>
      <c r="AO57" s="5"/>
      <c r="AP57" s="24"/>
      <c r="AQ57" s="25"/>
      <c r="AR57" s="25"/>
      <c r="AT57" s="5"/>
      <c r="AW57" s="5">
        <v>0.2</v>
      </c>
      <c r="AX57" s="5">
        <v>0.2</v>
      </c>
      <c r="AY57" s="5">
        <v>5</v>
      </c>
      <c r="AZ57" s="5">
        <v>1</v>
      </c>
      <c r="BA57" s="38"/>
      <c r="BB57" s="38"/>
    </row>
    <row r="58" spans="4:83" x14ac:dyDescent="0.25">
      <c r="H58" s="5"/>
      <c r="I58" s="5"/>
      <c r="J58" s="5"/>
      <c r="K58" s="22"/>
      <c r="L58" s="22"/>
      <c r="M58" s="22"/>
      <c r="N58" s="22"/>
      <c r="O58" s="22"/>
      <c r="P58" s="22"/>
      <c r="Q58" s="25"/>
      <c r="R58" s="5"/>
      <c r="S58" s="5"/>
      <c r="T58" s="5"/>
      <c r="U58" s="5"/>
      <c r="V58" s="5"/>
      <c r="W58" s="24"/>
      <c r="X58" s="24"/>
      <c r="Y58" s="5"/>
      <c r="Z58" s="5"/>
      <c r="AA58" s="5"/>
      <c r="AB58" s="5"/>
      <c r="AC58" s="5"/>
      <c r="AD58" s="5"/>
      <c r="AE58" s="5"/>
      <c r="AF58" s="5"/>
      <c r="AG58" s="24"/>
      <c r="AH58" s="24"/>
      <c r="AI58" s="24"/>
      <c r="AJ58" s="24"/>
      <c r="AK58" s="24"/>
      <c r="AL58" s="24"/>
      <c r="AM58" s="24"/>
      <c r="AN58" s="25"/>
      <c r="AO58" s="5"/>
      <c r="AP58" s="24"/>
      <c r="AQ58" s="25"/>
      <c r="AR58" s="25"/>
      <c r="AT58" s="5"/>
      <c r="AW58" s="5">
        <v>0.2</v>
      </c>
      <c r="AX58" s="5">
        <v>0.2</v>
      </c>
      <c r="AY58" s="5">
        <v>7.5</v>
      </c>
      <c r="AZ58" s="5">
        <v>1</v>
      </c>
      <c r="BA58" s="38"/>
      <c r="BB58" s="38"/>
    </row>
    <row r="59" spans="4:83" x14ac:dyDescent="0.25">
      <c r="H59" s="5"/>
      <c r="I59" s="5"/>
      <c r="J59" s="5"/>
      <c r="K59" s="22"/>
      <c r="L59" s="22"/>
      <c r="M59" s="22"/>
      <c r="N59" s="22"/>
      <c r="O59" s="22"/>
      <c r="P59" s="22"/>
      <c r="Q59" s="25"/>
      <c r="R59" s="5"/>
      <c r="S59" s="5"/>
      <c r="T59" s="5"/>
      <c r="U59" s="5"/>
      <c r="V59" s="5"/>
      <c r="W59" s="24"/>
      <c r="X59" s="24"/>
      <c r="Y59" s="5"/>
      <c r="Z59" s="5"/>
      <c r="AA59" s="5"/>
      <c r="AB59" s="5"/>
      <c r="AC59" s="5"/>
      <c r="AD59" s="5"/>
      <c r="AE59" s="5"/>
      <c r="AF59" s="5"/>
      <c r="AG59" s="24"/>
      <c r="AH59" s="24"/>
      <c r="AI59" s="24"/>
      <c r="AJ59" s="24"/>
      <c r="AK59" s="24"/>
      <c r="AL59" s="24"/>
      <c r="AM59" s="24"/>
      <c r="AN59" s="25"/>
      <c r="AO59" s="5"/>
      <c r="AP59" s="24"/>
      <c r="AQ59" s="25"/>
      <c r="AR59" s="25"/>
      <c r="AT59" s="5"/>
      <c r="BB59" s="38"/>
    </row>
    <row r="60" spans="4:83" x14ac:dyDescent="0.25">
      <c r="H60" s="5"/>
      <c r="I60" s="5"/>
      <c r="J60" s="5"/>
      <c r="K60" s="22"/>
      <c r="L60" s="22"/>
      <c r="M60" s="22"/>
      <c r="N60" s="22"/>
      <c r="O60" s="22"/>
      <c r="P60" s="22"/>
      <c r="Q60" s="25"/>
      <c r="R60" s="5"/>
      <c r="S60" s="5"/>
      <c r="T60" s="5"/>
      <c r="U60" s="5"/>
      <c r="V60" s="5"/>
      <c r="W60" s="24"/>
      <c r="X60" s="24"/>
      <c r="Y60" s="5"/>
      <c r="Z60" s="5"/>
      <c r="AA60" s="5"/>
      <c r="AB60" s="5"/>
      <c r="AC60" s="5"/>
      <c r="AD60" s="5"/>
      <c r="AE60" s="5"/>
      <c r="AF60" s="5"/>
      <c r="AG60" s="24"/>
      <c r="AH60" s="24"/>
      <c r="AI60" s="24"/>
      <c r="AJ60" s="24"/>
      <c r="AK60" s="24"/>
      <c r="AL60" s="24"/>
      <c r="AM60" s="24"/>
      <c r="AN60" s="25"/>
      <c r="AO60" s="5"/>
      <c r="AP60" s="24"/>
      <c r="AQ60" s="25"/>
      <c r="AR60" s="25"/>
      <c r="AT60" s="5"/>
      <c r="AV60" s="1" t="s">
        <v>115</v>
      </c>
      <c r="AX60" s="5">
        <v>0.5</v>
      </c>
      <c r="AY60" s="5">
        <v>2.5</v>
      </c>
      <c r="AZ60" s="5">
        <v>5</v>
      </c>
      <c r="BA60" s="5">
        <v>7.5</v>
      </c>
    </row>
    <row r="61" spans="4:83" x14ac:dyDescent="0.25">
      <c r="H61" s="5"/>
      <c r="I61" s="5"/>
      <c r="J61" s="5"/>
      <c r="K61" s="22"/>
      <c r="L61" s="22"/>
      <c r="M61" s="22"/>
      <c r="N61" s="22"/>
      <c r="O61" s="22"/>
      <c r="P61" s="22"/>
      <c r="Q61" s="25"/>
      <c r="R61" s="5"/>
      <c r="S61" s="5"/>
      <c r="T61" s="5"/>
      <c r="U61" s="5"/>
      <c r="V61" s="5"/>
      <c r="W61" s="24"/>
      <c r="X61" s="24"/>
      <c r="Y61" s="5"/>
      <c r="Z61" s="5"/>
      <c r="AA61" s="5"/>
      <c r="AB61" s="5"/>
      <c r="AC61" s="5"/>
      <c r="AD61" s="5"/>
      <c r="AE61" s="5"/>
      <c r="AF61" s="5"/>
      <c r="AG61" s="24"/>
      <c r="AH61" s="24"/>
      <c r="AI61" s="24"/>
      <c r="AJ61" s="24"/>
      <c r="AK61" s="24"/>
      <c r="AL61" s="24"/>
      <c r="AM61" s="24"/>
      <c r="AN61" s="25"/>
      <c r="AO61" s="5"/>
      <c r="AP61" s="24"/>
      <c r="AQ61" s="25"/>
      <c r="AR61" s="25"/>
      <c r="AT61" s="5"/>
    </row>
    <row r="62" spans="4:83" x14ac:dyDescent="0.25">
      <c r="H62" s="5"/>
      <c r="I62" s="5"/>
      <c r="J62" s="5"/>
      <c r="K62" s="22"/>
      <c r="L62" s="22"/>
      <c r="M62" s="22"/>
      <c r="N62" s="22"/>
      <c r="O62" s="22"/>
      <c r="P62" s="22"/>
      <c r="Q62" s="25"/>
      <c r="R62" s="5"/>
      <c r="S62" s="5"/>
      <c r="T62" s="5"/>
      <c r="U62" s="5"/>
      <c r="V62" s="5"/>
      <c r="W62" s="24"/>
      <c r="X62" s="24"/>
      <c r="Y62" s="5"/>
      <c r="Z62" s="5"/>
      <c r="AA62" s="5"/>
      <c r="AB62" s="5"/>
      <c r="AC62" s="5"/>
      <c r="AD62" s="5"/>
      <c r="AE62" s="5"/>
      <c r="AF62" s="5"/>
      <c r="AG62" s="24"/>
      <c r="AH62" s="24"/>
      <c r="AI62" s="24"/>
      <c r="AJ62" s="24"/>
      <c r="AK62" s="24"/>
      <c r="AL62" s="24"/>
      <c r="AM62" s="24"/>
      <c r="AN62" s="25"/>
      <c r="AO62" s="5"/>
      <c r="AP62" s="24"/>
      <c r="AQ62" s="25"/>
      <c r="AR62" s="25"/>
      <c r="AT62" s="5"/>
      <c r="AV62" s="5" t="s">
        <v>25</v>
      </c>
      <c r="AW62" s="5"/>
      <c r="AX62" s="5">
        <v>0.12852000000000002</v>
      </c>
      <c r="AY62" s="5">
        <v>0.13732</v>
      </c>
      <c r="AZ62" s="5">
        <v>0.14832000000000001</v>
      </c>
      <c r="BA62" s="5">
        <v>0.15932000000000002</v>
      </c>
    </row>
    <row r="63" spans="4:83" x14ac:dyDescent="0.25">
      <c r="H63" s="5"/>
      <c r="I63" s="5"/>
      <c r="J63" s="5"/>
      <c r="K63" s="22"/>
      <c r="L63" s="22"/>
      <c r="M63" s="22"/>
      <c r="N63" s="22"/>
      <c r="O63" s="22"/>
      <c r="P63" s="22"/>
      <c r="Q63" s="25"/>
      <c r="R63" s="5"/>
      <c r="S63" s="5"/>
      <c r="T63" s="5"/>
      <c r="U63" s="5"/>
      <c r="V63" s="5"/>
      <c r="W63" s="24"/>
      <c r="X63" s="24"/>
      <c r="Y63" s="5"/>
      <c r="Z63" s="5"/>
      <c r="AA63" s="5"/>
      <c r="AB63" s="5"/>
      <c r="AC63" s="5"/>
      <c r="AD63" s="5"/>
      <c r="AE63" s="5"/>
      <c r="AF63" s="5"/>
      <c r="AG63" s="24"/>
      <c r="AH63" s="24"/>
      <c r="AI63" s="24"/>
      <c r="AJ63" s="24"/>
      <c r="AK63" s="24"/>
      <c r="AL63" s="24"/>
      <c r="AM63" s="24"/>
      <c r="AN63" s="25"/>
      <c r="AO63" s="5"/>
      <c r="AP63" s="24"/>
      <c r="AQ63" s="25"/>
      <c r="AR63" s="25"/>
      <c r="AT63" s="5"/>
      <c r="AV63" s="5" t="s">
        <v>26</v>
      </c>
      <c r="AW63" s="5"/>
      <c r="AX63" s="5">
        <v>0.30133351390719998</v>
      </c>
      <c r="AY63" s="5">
        <v>0.32087754731520002</v>
      </c>
      <c r="AZ63" s="5">
        <v>0.3459750056751999</v>
      </c>
      <c r="BA63" s="5">
        <v>0.37181403803519997</v>
      </c>
    </row>
    <row r="64" spans="4:83" x14ac:dyDescent="0.25">
      <c r="F64" s="5"/>
      <c r="G64" s="5"/>
      <c r="H64" s="5"/>
      <c r="I64" s="5"/>
      <c r="J64" s="5"/>
      <c r="K64" s="5"/>
      <c r="M64" s="22"/>
      <c r="N64" s="22"/>
      <c r="O64" s="22"/>
      <c r="P64" s="22"/>
      <c r="Q64" s="25"/>
      <c r="R64" s="5"/>
      <c r="S64" s="5"/>
      <c r="T64" s="5"/>
      <c r="U64" s="5"/>
      <c r="V64" s="5"/>
      <c r="W64" s="24"/>
      <c r="X64" s="24"/>
      <c r="Y64" s="5"/>
      <c r="Z64" s="5"/>
      <c r="AA64" s="5"/>
      <c r="AB64" s="5"/>
      <c r="AC64" s="5"/>
      <c r="AD64" s="5"/>
      <c r="AE64" s="5"/>
      <c r="AF64" s="5"/>
      <c r="AG64" s="24"/>
      <c r="AH64" s="24"/>
      <c r="AI64" s="24"/>
      <c r="AJ64" s="24"/>
      <c r="AK64" s="24"/>
      <c r="AL64" s="24"/>
      <c r="AM64" s="24"/>
      <c r="AN64" s="25"/>
      <c r="AO64" s="5"/>
      <c r="AP64" s="24"/>
      <c r="AQ64" s="25"/>
      <c r="AR64" s="25"/>
      <c r="AT64" s="5"/>
      <c r="AV64" s="5" t="s">
        <v>85</v>
      </c>
      <c r="AW64" s="5"/>
      <c r="AX64" s="5">
        <v>0.42004495390719998</v>
      </c>
      <c r="AY64" s="5">
        <v>0.48212498731520004</v>
      </c>
      <c r="AZ64" s="5">
        <v>0.56039244567519986</v>
      </c>
      <c r="BA64" s="5">
        <v>0.63940147803519987</v>
      </c>
    </row>
    <row r="65" spans="1:53" ht="15.6" x14ac:dyDescent="0.25">
      <c r="A65" s="22"/>
      <c r="B65" s="5"/>
      <c r="C65" s="22"/>
      <c r="F65" s="5"/>
      <c r="G65" s="5"/>
      <c r="K65" s="40"/>
      <c r="L65" s="40"/>
      <c r="M65" s="22"/>
      <c r="N65" s="22"/>
      <c r="O65" s="22"/>
      <c r="P65" s="22"/>
      <c r="Q65" s="25"/>
      <c r="R65" s="5"/>
      <c r="S65" s="5"/>
      <c r="T65" s="5"/>
      <c r="U65" s="5"/>
      <c r="V65" s="5"/>
      <c r="W65" s="24"/>
      <c r="X65" s="24"/>
      <c r="Y65" s="5"/>
      <c r="Z65" s="5"/>
      <c r="AA65" s="5"/>
      <c r="AB65" s="5"/>
      <c r="AC65" s="5"/>
      <c r="AD65" s="5"/>
      <c r="AE65" s="5"/>
      <c r="AF65" s="5"/>
      <c r="AG65" s="24"/>
      <c r="AH65" s="24"/>
      <c r="AI65" s="24"/>
      <c r="AJ65" s="24"/>
      <c r="AK65" s="24"/>
      <c r="AL65" s="24"/>
      <c r="AM65" s="24"/>
      <c r="AN65" s="25"/>
      <c r="AO65" s="5"/>
      <c r="AP65" s="24"/>
      <c r="AQ65" s="25"/>
      <c r="AR65" s="25"/>
      <c r="AT65" s="5"/>
      <c r="AV65" s="5" t="s">
        <v>86</v>
      </c>
      <c r="AW65" s="5"/>
      <c r="AX65" s="5">
        <v>0.15316594172034209</v>
      </c>
      <c r="AY65" s="5">
        <v>0.19887392506685519</v>
      </c>
      <c r="AZ65" s="5">
        <v>0.27628965250504267</v>
      </c>
      <c r="BA65" s="5">
        <v>0.38320402041341184</v>
      </c>
    </row>
    <row r="66" spans="1:53" ht="15.6" x14ac:dyDescent="0.25">
      <c r="A66" s="22"/>
      <c r="B66" s="5"/>
      <c r="C66" s="22"/>
      <c r="E66" s="5"/>
      <c r="F66" s="5"/>
      <c r="G66" s="5"/>
      <c r="K66" s="40"/>
      <c r="L66" s="40"/>
      <c r="M66" s="22"/>
      <c r="N66" s="22"/>
      <c r="O66" s="22"/>
      <c r="P66" s="22"/>
      <c r="Q66" s="25"/>
      <c r="R66" s="5"/>
      <c r="S66" s="5"/>
      <c r="T66" s="5"/>
      <c r="U66" s="5"/>
      <c r="V66" s="5"/>
      <c r="W66" s="24"/>
      <c r="X66" s="24"/>
      <c r="Y66" s="5"/>
      <c r="Z66" s="5"/>
      <c r="AA66" s="5"/>
      <c r="AB66" s="5"/>
      <c r="AC66" s="5"/>
      <c r="AD66" s="5"/>
      <c r="AE66" s="5"/>
      <c r="AF66" s="5"/>
      <c r="AG66" s="24"/>
      <c r="AH66" s="24"/>
      <c r="AI66" s="24"/>
      <c r="AJ66" s="24"/>
      <c r="AK66" s="24"/>
      <c r="AL66" s="24"/>
      <c r="AM66" s="24"/>
      <c r="AN66" s="25"/>
      <c r="AO66" s="5"/>
      <c r="AP66" s="24"/>
      <c r="AQ66" s="25"/>
      <c r="AR66" s="25"/>
      <c r="AT66" s="5"/>
      <c r="AV66" s="5" t="s">
        <v>87</v>
      </c>
      <c r="AW66" s="5"/>
      <c r="AX66" s="5">
        <v>4.4790099822770131</v>
      </c>
      <c r="AY66" s="5">
        <v>4.4968866809428123</v>
      </c>
      <c r="AZ66" s="5">
        <v>4.506184076637175</v>
      </c>
      <c r="BA66" s="5">
        <v>4.5036071641837303</v>
      </c>
    </row>
    <row r="67" spans="1:53" ht="15.6" x14ac:dyDescent="0.25">
      <c r="A67" s="22"/>
      <c r="B67" s="5"/>
      <c r="C67" s="22"/>
      <c r="E67" s="5"/>
      <c r="F67" s="5"/>
      <c r="G67" s="5"/>
      <c r="K67" s="40"/>
      <c r="L67" s="40"/>
      <c r="M67" s="22"/>
      <c r="N67" s="22"/>
      <c r="O67" s="22"/>
      <c r="P67" s="22"/>
      <c r="Q67" s="25"/>
      <c r="R67" s="5"/>
      <c r="S67" s="5"/>
      <c r="T67" s="5"/>
      <c r="U67" s="5"/>
      <c r="V67" s="5"/>
      <c r="W67" s="24"/>
      <c r="X67" s="24"/>
      <c r="Y67" s="5"/>
      <c r="Z67" s="5"/>
      <c r="AA67" s="5"/>
      <c r="AB67" s="5"/>
      <c r="AC67" s="5"/>
      <c r="AD67" s="5"/>
      <c r="AE67" s="5"/>
      <c r="AF67" s="5"/>
      <c r="AG67" s="24"/>
      <c r="AH67" s="24"/>
      <c r="AI67" s="24"/>
      <c r="AJ67" s="24"/>
      <c r="AK67" s="24"/>
      <c r="AL67" s="24"/>
      <c r="AM67" s="24"/>
      <c r="AN67" s="25"/>
      <c r="AO67" s="5"/>
      <c r="AP67" s="24"/>
      <c r="AQ67" s="25"/>
      <c r="AR67" s="25"/>
      <c r="AT67" s="5"/>
      <c r="AV67" s="5" t="s">
        <v>88</v>
      </c>
      <c r="AW67" s="5"/>
      <c r="AX67" s="5">
        <v>5.1959764067422096</v>
      </c>
      <c r="AY67" s="5">
        <v>12.141446393783953</v>
      </c>
      <c r="AZ67" s="5">
        <v>26.775805826090828</v>
      </c>
      <c r="BA67" s="5">
        <v>49.554422271778733</v>
      </c>
    </row>
    <row r="68" spans="1:53" ht="15.6" x14ac:dyDescent="0.25">
      <c r="A68" s="22"/>
      <c r="C68" s="22"/>
      <c r="E68" s="5"/>
      <c r="F68" s="5"/>
      <c r="G68" s="5"/>
      <c r="K68" s="40"/>
      <c r="L68" s="40"/>
      <c r="M68" s="22"/>
      <c r="N68" s="22"/>
      <c r="O68" s="22"/>
      <c r="P68" s="22"/>
      <c r="Q68" s="25"/>
      <c r="R68" s="5"/>
      <c r="S68" s="5"/>
      <c r="T68" s="5"/>
      <c r="U68" s="5"/>
      <c r="V68" s="5"/>
      <c r="W68" s="24"/>
      <c r="X68" s="24"/>
      <c r="Y68" s="5"/>
      <c r="Z68" s="5"/>
      <c r="AA68" s="5"/>
      <c r="AB68" s="5"/>
      <c r="AC68" s="5"/>
      <c r="AD68" s="5"/>
      <c r="AE68" s="5"/>
      <c r="AF68" s="5"/>
      <c r="AG68" s="24"/>
      <c r="AH68" s="24"/>
      <c r="AI68" s="24"/>
      <c r="AJ68" s="24"/>
      <c r="AK68" s="24"/>
      <c r="AL68" s="24"/>
      <c r="AM68" s="24"/>
      <c r="AN68" s="25"/>
      <c r="AO68" s="5"/>
      <c r="AP68" s="24"/>
      <c r="AQ68" s="25"/>
      <c r="AR68" s="25"/>
      <c r="AV68" s="5" t="s">
        <v>89</v>
      </c>
      <c r="AW68" s="5"/>
      <c r="AX68" s="5">
        <v>9.955923507520005</v>
      </c>
      <c r="AY68" s="5">
        <v>7.1446341955200019</v>
      </c>
      <c r="AZ68" s="5">
        <v>3.630522555520006</v>
      </c>
      <c r="BA68" s="5">
        <v>0.1164109155200066</v>
      </c>
    </row>
    <row r="69" spans="1:53" ht="15.6" x14ac:dyDescent="0.25">
      <c r="A69" s="22"/>
      <c r="C69" s="22"/>
      <c r="E69" s="5"/>
      <c r="F69" s="5"/>
      <c r="G69" s="5"/>
      <c r="K69" s="40"/>
      <c r="L69" s="40"/>
      <c r="M69" s="22"/>
      <c r="N69" s="22"/>
      <c r="O69" s="22"/>
      <c r="P69" s="22"/>
      <c r="Q69" s="25"/>
      <c r="R69" s="5"/>
      <c r="S69" s="5"/>
      <c r="T69" s="5"/>
      <c r="U69" s="5"/>
      <c r="V69" s="5"/>
      <c r="W69" s="24"/>
      <c r="X69" s="24"/>
      <c r="Y69" s="5"/>
      <c r="Z69" s="5"/>
      <c r="AA69" s="5"/>
      <c r="AB69" s="5"/>
      <c r="AC69" s="5"/>
      <c r="AD69" s="5"/>
      <c r="AE69" s="5"/>
      <c r="AF69" s="5"/>
      <c r="AG69" s="24"/>
      <c r="AH69" s="24"/>
      <c r="AI69" s="24"/>
      <c r="AJ69" s="24"/>
      <c r="AK69" s="24"/>
      <c r="AL69" s="24"/>
      <c r="AM69" s="24"/>
      <c r="AN69" s="25"/>
      <c r="AO69" s="5"/>
      <c r="AP69" s="24"/>
      <c r="AQ69" s="25"/>
      <c r="AR69" s="25"/>
      <c r="AV69" s="5" t="s">
        <v>116</v>
      </c>
      <c r="AW69" s="5"/>
      <c r="AX69" s="5">
        <v>0.17281351390719996</v>
      </c>
      <c r="AY69" s="5">
        <v>0.18355754731520002</v>
      </c>
      <c r="AZ69" s="5">
        <v>0.19765500567519989</v>
      </c>
      <c r="BA69" s="5">
        <v>0.21249403803519995</v>
      </c>
    </row>
    <row r="70" spans="1:53" ht="15.6" x14ac:dyDescent="0.25">
      <c r="A70" s="22"/>
      <c r="C70" s="22"/>
      <c r="E70" s="5"/>
      <c r="F70" s="5"/>
      <c r="G70" s="5"/>
      <c r="K70" s="40"/>
      <c r="L70" s="40"/>
      <c r="M70" s="22"/>
      <c r="N70" s="22"/>
      <c r="O70" s="22"/>
      <c r="P70" s="22"/>
      <c r="Q70" s="25"/>
      <c r="R70" s="5"/>
      <c r="S70" s="5"/>
      <c r="T70" s="5"/>
      <c r="U70" s="5"/>
      <c r="V70" s="5"/>
      <c r="W70" s="24"/>
      <c r="X70" s="24"/>
      <c r="Y70" s="5"/>
      <c r="Z70" s="5"/>
      <c r="AA70" s="5"/>
      <c r="AB70" s="5"/>
      <c r="AC70" s="5"/>
      <c r="AD70" s="5"/>
      <c r="AE70" s="5"/>
      <c r="AF70" s="5"/>
      <c r="AG70" s="24"/>
      <c r="AH70" s="24"/>
      <c r="AI70" s="24"/>
      <c r="AJ70" s="24"/>
      <c r="AK70" s="24"/>
      <c r="AL70" s="24"/>
      <c r="AM70" s="24"/>
      <c r="AN70" s="25"/>
      <c r="AO70" s="5"/>
      <c r="AP70" s="24"/>
      <c r="AQ70" s="25"/>
      <c r="AR70" s="25"/>
    </row>
    <row r="71" spans="1:53" ht="15.6" x14ac:dyDescent="0.25">
      <c r="A71" s="22"/>
      <c r="C71" s="22"/>
      <c r="E71" s="5"/>
      <c r="F71" s="5"/>
      <c r="G71" s="5"/>
      <c r="K71" s="40"/>
      <c r="L71" s="40"/>
      <c r="M71" s="22"/>
      <c r="N71" s="22"/>
      <c r="O71" s="22"/>
      <c r="P71" s="22"/>
      <c r="Q71" s="25"/>
      <c r="R71" s="5"/>
      <c r="S71" s="5"/>
      <c r="T71" s="5"/>
      <c r="U71" s="5"/>
      <c r="V71" s="5"/>
      <c r="W71" s="24"/>
      <c r="X71" s="24"/>
      <c r="Y71" s="5"/>
      <c r="Z71" s="5"/>
      <c r="AA71" s="5"/>
      <c r="AB71" s="5"/>
      <c r="AC71" s="5"/>
      <c r="AD71" s="5"/>
      <c r="AE71" s="5"/>
      <c r="AF71" s="5"/>
      <c r="AG71" s="24"/>
      <c r="AH71" s="24"/>
      <c r="AI71" s="24"/>
      <c r="AJ71" s="24"/>
      <c r="AK71" s="24"/>
      <c r="AL71" s="24"/>
      <c r="AM71" s="24"/>
      <c r="AN71" s="25"/>
      <c r="AO71" s="5"/>
      <c r="AP71" s="24"/>
      <c r="AQ71" s="25"/>
      <c r="AR71" s="25"/>
    </row>
    <row r="72" spans="1:53" ht="15.6" x14ac:dyDescent="0.25">
      <c r="A72" s="22"/>
      <c r="C72" s="22"/>
      <c r="E72" s="5"/>
      <c r="F72" s="5"/>
      <c r="G72" s="5"/>
      <c r="K72" s="40"/>
      <c r="L72" s="40"/>
      <c r="M72" s="22"/>
      <c r="N72" s="22"/>
      <c r="O72" s="22"/>
      <c r="P72" s="22"/>
      <c r="Q72" s="25"/>
      <c r="R72" s="5"/>
      <c r="S72" s="5"/>
      <c r="T72" s="5"/>
      <c r="U72" s="5"/>
      <c r="V72" s="5"/>
      <c r="W72" s="24"/>
      <c r="X72" s="24"/>
      <c r="Y72" s="5"/>
      <c r="Z72" s="5"/>
      <c r="AA72" s="5"/>
      <c r="AB72" s="5"/>
      <c r="AC72" s="5"/>
      <c r="AD72" s="5"/>
      <c r="AE72" s="5"/>
      <c r="AF72" s="5"/>
      <c r="AG72" s="24"/>
      <c r="AH72" s="24"/>
      <c r="AI72" s="24"/>
      <c r="AJ72" s="24"/>
      <c r="AK72" s="24"/>
      <c r="AL72" s="24"/>
      <c r="AM72" s="24"/>
      <c r="AN72" s="25"/>
      <c r="AO72" s="5"/>
      <c r="AP72" s="24"/>
      <c r="AQ72" s="25"/>
      <c r="AR72" s="25"/>
    </row>
    <row r="73" spans="1:53" ht="15.6" x14ac:dyDescent="0.25">
      <c r="A73" s="22"/>
      <c r="C73" s="22"/>
      <c r="E73" s="5"/>
      <c r="F73" s="5"/>
      <c r="G73" s="5"/>
      <c r="K73" s="40"/>
      <c r="L73" s="40"/>
      <c r="M73" s="22"/>
      <c r="N73" s="22"/>
      <c r="O73" s="22"/>
      <c r="P73" s="22"/>
      <c r="Q73" s="25"/>
      <c r="R73" s="5"/>
      <c r="S73" s="5"/>
      <c r="T73" s="5"/>
      <c r="U73" s="5"/>
      <c r="V73" s="5"/>
      <c r="W73" s="24"/>
      <c r="X73" s="24"/>
      <c r="Y73" s="5"/>
      <c r="Z73" s="5"/>
      <c r="AA73" s="5"/>
      <c r="AB73" s="5"/>
      <c r="AC73" s="5"/>
      <c r="AD73" s="5"/>
      <c r="AE73" s="5"/>
      <c r="AF73" s="5"/>
      <c r="AG73" s="24"/>
      <c r="AH73" s="24"/>
      <c r="AI73" s="24"/>
      <c r="AJ73" s="24"/>
      <c r="AK73" s="24"/>
      <c r="AL73" s="24"/>
      <c r="AM73" s="24"/>
      <c r="AN73" s="25"/>
      <c r="AO73" s="5"/>
      <c r="AP73" s="24"/>
      <c r="AQ73" s="25"/>
      <c r="AR73" s="25"/>
    </row>
    <row r="74" spans="1:53" ht="15.6" x14ac:dyDescent="0.25">
      <c r="A74" s="22"/>
      <c r="C74" s="22"/>
      <c r="E74" s="5"/>
      <c r="F74" s="5"/>
      <c r="G74" s="5"/>
      <c r="K74" s="40"/>
      <c r="L74" s="40"/>
      <c r="M74" s="22"/>
      <c r="N74" s="22"/>
      <c r="O74" s="22"/>
      <c r="P74" s="22"/>
      <c r="Q74" s="25"/>
      <c r="R74" s="5"/>
      <c r="S74" s="5"/>
      <c r="T74" s="5"/>
      <c r="U74" s="5"/>
      <c r="V74" s="5"/>
      <c r="W74" s="24"/>
      <c r="X74" s="24"/>
      <c r="Y74" s="5"/>
      <c r="Z74" s="5"/>
      <c r="AA74" s="5"/>
      <c r="AB74" s="5"/>
      <c r="AC74" s="5"/>
      <c r="AD74" s="5"/>
      <c r="AE74" s="5"/>
      <c r="AF74" s="5"/>
      <c r="AG74" s="24"/>
      <c r="AH74" s="24"/>
      <c r="AI74" s="24"/>
      <c r="AJ74" s="24"/>
      <c r="AK74" s="24"/>
      <c r="AL74" s="24"/>
      <c r="AM74" s="24"/>
      <c r="AN74" s="25"/>
      <c r="AO74" s="5"/>
      <c r="AP74" s="24"/>
      <c r="AQ74" s="25"/>
      <c r="AR74" s="25"/>
    </row>
    <row r="75" spans="1:53" ht="15.6" x14ac:dyDescent="0.25">
      <c r="A75" s="22"/>
      <c r="B75" s="5"/>
      <c r="C75" s="22"/>
      <c r="E75" s="5"/>
      <c r="F75" s="5"/>
      <c r="G75" s="5"/>
      <c r="K75" s="40"/>
      <c r="L75" s="40"/>
      <c r="M75" s="22"/>
      <c r="N75" s="22"/>
      <c r="O75" s="22"/>
      <c r="P75" s="22"/>
      <c r="Q75" s="25"/>
      <c r="R75" s="5"/>
      <c r="S75" s="5"/>
      <c r="T75" s="5"/>
      <c r="U75" s="5"/>
      <c r="V75" s="5"/>
      <c r="W75" s="24"/>
      <c r="X75" s="24"/>
      <c r="Y75" s="5"/>
      <c r="Z75" s="5"/>
      <c r="AA75" s="5"/>
      <c r="AB75" s="5"/>
      <c r="AC75" s="5"/>
      <c r="AD75" s="5"/>
      <c r="AE75" s="5"/>
      <c r="AF75" s="5"/>
      <c r="AG75" s="24"/>
      <c r="AH75" s="24"/>
      <c r="AI75" s="24"/>
      <c r="AJ75" s="24"/>
      <c r="AK75" s="24"/>
      <c r="AL75" s="24"/>
      <c r="AM75" s="24"/>
      <c r="AN75" s="25"/>
      <c r="AO75" s="5"/>
      <c r="AP75" s="24"/>
      <c r="AQ75" s="25"/>
      <c r="AR75" s="25"/>
    </row>
    <row r="76" spans="1:53" x14ac:dyDescent="0.25">
      <c r="C76" s="22"/>
      <c r="D76" s="5"/>
      <c r="E76" s="5"/>
      <c r="F76" s="22"/>
      <c r="G76" s="5"/>
      <c r="H76" s="5"/>
      <c r="I76" s="5"/>
      <c r="J76" s="5"/>
      <c r="K76" s="5"/>
      <c r="L76" s="5"/>
      <c r="M76" s="5"/>
      <c r="N76" s="5"/>
      <c r="P76" s="5"/>
      <c r="Q76" s="5"/>
      <c r="R76" s="5"/>
      <c r="S76" s="5"/>
      <c r="T76" s="25"/>
      <c r="U76" s="5"/>
      <c r="V76" s="5"/>
      <c r="W76" s="5"/>
      <c r="X76" s="5"/>
      <c r="Z76" s="5"/>
      <c r="AB76" s="5"/>
      <c r="AP76" s="5"/>
    </row>
    <row r="77" spans="1:53" x14ac:dyDescent="0.25">
      <c r="C77" s="22"/>
      <c r="D77" s="22"/>
      <c r="F77" s="22"/>
      <c r="G77" s="5"/>
      <c r="H77" s="5"/>
      <c r="I77" s="5"/>
      <c r="J77" s="5"/>
      <c r="K77" s="5"/>
      <c r="L77" s="5"/>
      <c r="M77" s="5"/>
      <c r="N77" s="5"/>
      <c r="P77" s="5"/>
      <c r="Q77" s="5"/>
      <c r="R77" s="5"/>
      <c r="S77" s="5"/>
      <c r="T77" s="25"/>
      <c r="U77" s="5"/>
      <c r="V77" s="5"/>
      <c r="W77" s="5"/>
      <c r="X77" s="5"/>
      <c r="Z77" s="5"/>
      <c r="AB77" s="5"/>
      <c r="AP77" s="5"/>
    </row>
    <row r="78" spans="1:53" ht="17.399999999999999" x14ac:dyDescent="0.3">
      <c r="C78" s="22"/>
      <c r="D78" s="5"/>
      <c r="F78" s="22"/>
      <c r="G78" s="5"/>
      <c r="H78" s="5"/>
      <c r="I78" s="5"/>
      <c r="J78" s="5"/>
      <c r="K78" s="41"/>
      <c r="L78" s="41"/>
      <c r="M78" s="5"/>
      <c r="N78" s="5"/>
      <c r="O78" s="5"/>
      <c r="S78" s="5"/>
      <c r="T78" s="25"/>
      <c r="U78" s="5"/>
      <c r="V78" s="5"/>
      <c r="W78" s="5"/>
      <c r="X78" s="5"/>
      <c r="Z78" s="5"/>
      <c r="AB78" s="5"/>
      <c r="AP78" s="5"/>
    </row>
    <row r="79" spans="1:53" x14ac:dyDescent="0.25">
      <c r="D79" s="22"/>
      <c r="F79" s="22"/>
      <c r="G79" s="5"/>
      <c r="H79" s="5"/>
      <c r="I79" s="5"/>
      <c r="J79" s="5"/>
      <c r="K79" s="5"/>
      <c r="L79" s="5"/>
      <c r="S79" s="5"/>
      <c r="T79" s="25"/>
      <c r="U79" s="5"/>
      <c r="V79" s="5"/>
      <c r="W79" s="5"/>
      <c r="X79" s="5"/>
      <c r="Z79" s="5"/>
      <c r="AB79" s="5"/>
      <c r="AP79" s="5"/>
    </row>
    <row r="80" spans="1:53" x14ac:dyDescent="0.25">
      <c r="D80" s="22"/>
      <c r="E80" s="5"/>
      <c r="F80" s="5"/>
      <c r="G80" s="5"/>
      <c r="K80" s="22"/>
      <c r="L80" s="22"/>
      <c r="M80" s="22"/>
      <c r="N80" s="22"/>
      <c r="O80" s="22"/>
      <c r="P80" s="22"/>
      <c r="Q80" s="25"/>
      <c r="R80" s="5"/>
      <c r="S80" s="5"/>
      <c r="T80" s="5"/>
      <c r="U80" s="5"/>
      <c r="V80" s="5"/>
      <c r="W80" s="5"/>
      <c r="X80" s="5"/>
      <c r="Z80" s="5"/>
      <c r="AB80" s="5"/>
      <c r="AP80" s="5"/>
    </row>
    <row r="81" spans="3:42" x14ac:dyDescent="0.25">
      <c r="D81" s="22"/>
      <c r="E81" s="5"/>
      <c r="F81" s="5"/>
      <c r="G81" s="5"/>
      <c r="K81" s="22"/>
      <c r="L81" s="22"/>
      <c r="M81" s="22"/>
      <c r="N81" s="22"/>
      <c r="O81" s="22"/>
      <c r="P81" s="22"/>
      <c r="Q81" s="25"/>
      <c r="R81" s="5"/>
      <c r="S81" s="5"/>
      <c r="T81" s="5"/>
      <c r="U81" s="5"/>
      <c r="V81" s="5"/>
      <c r="W81" s="5"/>
      <c r="X81" s="5"/>
      <c r="Z81" s="5"/>
      <c r="AB81" s="5"/>
      <c r="AP81" s="5"/>
    </row>
    <row r="82" spans="3:42" x14ac:dyDescent="0.25">
      <c r="D82" s="22"/>
      <c r="E82" s="5"/>
      <c r="F82" s="5"/>
      <c r="G82" s="5"/>
      <c r="K82" s="22"/>
      <c r="L82" s="22"/>
      <c r="M82" s="22"/>
      <c r="N82" s="22"/>
      <c r="O82" s="22"/>
      <c r="P82" s="22"/>
      <c r="Q82" s="25"/>
      <c r="R82" s="5"/>
      <c r="S82" s="5"/>
      <c r="T82" s="5"/>
      <c r="U82" s="5"/>
      <c r="V82" s="5"/>
      <c r="W82" s="5"/>
      <c r="X82" s="5"/>
      <c r="Z82" s="5"/>
      <c r="AB82" s="5"/>
      <c r="AP82" s="5"/>
    </row>
    <row r="83" spans="3:42" x14ac:dyDescent="0.25">
      <c r="D83" s="22"/>
      <c r="E83" s="5"/>
      <c r="F83" s="5"/>
      <c r="G83" s="5"/>
      <c r="K83" s="22"/>
      <c r="L83" s="22"/>
      <c r="M83" s="22"/>
      <c r="N83" s="22"/>
      <c r="O83" s="22"/>
      <c r="P83" s="22"/>
      <c r="Q83" s="25"/>
      <c r="R83" s="5"/>
      <c r="S83" s="5"/>
      <c r="T83" s="5"/>
      <c r="U83" s="5"/>
      <c r="V83" s="5"/>
      <c r="W83" s="5"/>
      <c r="X83" s="5"/>
      <c r="Z83" s="5"/>
      <c r="AB83" s="5"/>
      <c r="AP83" s="5"/>
    </row>
    <row r="84" spans="3:42" x14ac:dyDescent="0.25">
      <c r="D84" s="22"/>
      <c r="F84" s="5"/>
      <c r="G84" s="5"/>
      <c r="K84" s="22"/>
      <c r="L84" s="22"/>
      <c r="M84" s="22"/>
      <c r="N84" s="22"/>
      <c r="O84" s="22"/>
      <c r="P84" s="22"/>
      <c r="Q84" s="25"/>
      <c r="R84" s="5"/>
      <c r="S84" s="5"/>
      <c r="T84" s="5"/>
      <c r="U84" s="5"/>
      <c r="V84" s="5"/>
      <c r="W84" s="5"/>
      <c r="X84" s="5"/>
      <c r="Z84" s="5"/>
      <c r="AB84" s="5"/>
      <c r="AP84" s="5"/>
    </row>
    <row r="85" spans="3:42" x14ac:dyDescent="0.25">
      <c r="D85" s="22"/>
      <c r="F85" s="5"/>
      <c r="G85" s="5"/>
      <c r="K85" s="22"/>
      <c r="L85" s="22"/>
      <c r="M85" s="22"/>
      <c r="N85" s="22"/>
      <c r="O85" s="22"/>
      <c r="P85" s="22"/>
      <c r="Q85" s="25"/>
      <c r="R85" s="5"/>
      <c r="S85" s="5"/>
      <c r="T85" s="5"/>
      <c r="U85" s="5"/>
      <c r="V85" s="5"/>
      <c r="W85" s="5"/>
      <c r="X85" s="5"/>
      <c r="Z85" s="5"/>
      <c r="AB85" s="5"/>
      <c r="AP85" s="5"/>
    </row>
    <row r="86" spans="3:42" x14ac:dyDescent="0.25">
      <c r="D86" s="22"/>
      <c r="F86" s="5"/>
      <c r="G86" s="5"/>
      <c r="K86" s="22"/>
      <c r="L86" s="22"/>
      <c r="M86" s="22"/>
      <c r="N86" s="22"/>
      <c r="O86" s="22"/>
      <c r="P86" s="22"/>
      <c r="Q86" s="25"/>
      <c r="R86" s="5"/>
      <c r="S86" s="5"/>
      <c r="T86" s="5"/>
      <c r="U86" s="5"/>
      <c r="V86" s="5"/>
      <c r="W86" s="5"/>
      <c r="X86" s="5"/>
      <c r="Z86" s="5"/>
      <c r="AB86" s="5"/>
      <c r="AP86" s="5"/>
    </row>
    <row r="87" spans="3:42" x14ac:dyDescent="0.25">
      <c r="C87" s="5"/>
      <c r="D87" s="22"/>
      <c r="F87" s="5"/>
      <c r="G87" s="5"/>
      <c r="K87" s="22"/>
      <c r="L87" s="22"/>
      <c r="M87" s="22"/>
      <c r="N87" s="22"/>
      <c r="O87" s="22"/>
      <c r="P87" s="22"/>
      <c r="Q87" s="25"/>
      <c r="R87" s="5"/>
      <c r="S87" s="5"/>
      <c r="T87" s="5"/>
      <c r="U87" s="5"/>
      <c r="V87" s="5"/>
      <c r="W87" s="5"/>
      <c r="X87" s="5"/>
      <c r="Z87" s="5"/>
      <c r="AB87" s="5"/>
      <c r="AP87" s="5"/>
    </row>
    <row r="88" spans="3:42" x14ac:dyDescent="0.25">
      <c r="C88" s="5"/>
      <c r="D88" s="22"/>
      <c r="F88" s="5"/>
      <c r="G88" s="5"/>
      <c r="K88" s="22"/>
      <c r="L88" s="22"/>
      <c r="M88" s="22"/>
      <c r="N88" s="22"/>
      <c r="O88" s="22"/>
      <c r="P88" s="22"/>
      <c r="Q88" s="25"/>
      <c r="R88" s="5"/>
      <c r="S88" s="5"/>
      <c r="T88" s="5"/>
      <c r="U88" s="5"/>
      <c r="V88" s="5"/>
      <c r="W88" s="5"/>
      <c r="X88" s="5"/>
      <c r="Z88" s="5"/>
      <c r="AB88" s="5"/>
      <c r="AP88" s="5"/>
    </row>
    <row r="89" spans="3:42" x14ac:dyDescent="0.25">
      <c r="C89" s="5"/>
      <c r="D89" s="22"/>
      <c r="F89" s="5"/>
      <c r="G89" s="5"/>
      <c r="K89" s="22"/>
      <c r="L89" s="22"/>
      <c r="M89" s="22"/>
      <c r="N89" s="22"/>
      <c r="O89" s="22"/>
      <c r="P89" s="22"/>
      <c r="Q89" s="25"/>
      <c r="R89" s="5"/>
      <c r="S89" s="5"/>
      <c r="T89" s="5"/>
      <c r="U89" s="5"/>
      <c r="V89" s="5"/>
      <c r="W89" s="5"/>
      <c r="X89" s="5"/>
      <c r="Z89" s="5"/>
      <c r="AB89" s="5"/>
      <c r="AP89" s="5"/>
    </row>
    <row r="90" spans="3:42" x14ac:dyDescent="0.25">
      <c r="C90" s="5"/>
      <c r="F90" s="5"/>
      <c r="G90" s="5"/>
      <c r="K90" s="22"/>
      <c r="L90" s="22"/>
      <c r="M90" s="22"/>
      <c r="N90" s="22"/>
      <c r="O90" s="22"/>
      <c r="P90" s="22"/>
      <c r="Q90" s="25"/>
      <c r="R90" s="5"/>
      <c r="S90" s="5"/>
      <c r="T90" s="5"/>
      <c r="U90" s="5"/>
      <c r="V90" s="5"/>
      <c r="W90" s="5"/>
      <c r="X90" s="5"/>
      <c r="Z90" s="5"/>
      <c r="AB90" s="5"/>
      <c r="AP90" s="5"/>
    </row>
    <row r="91" spans="3:42" x14ac:dyDescent="0.25">
      <c r="C91" s="5"/>
      <c r="D91" s="22"/>
      <c r="F91" s="5"/>
      <c r="G91" s="5"/>
      <c r="K91" s="22"/>
      <c r="L91" s="22"/>
      <c r="M91" s="22"/>
      <c r="N91" s="22"/>
      <c r="O91" s="22"/>
      <c r="P91" s="22"/>
      <c r="Q91" s="25"/>
      <c r="R91" s="5"/>
      <c r="S91" s="5"/>
      <c r="T91" s="5"/>
      <c r="U91" s="5"/>
      <c r="V91" s="5"/>
      <c r="W91" s="5"/>
      <c r="X91" s="5"/>
      <c r="Z91" s="5"/>
      <c r="AB91" s="5"/>
      <c r="AP91" s="5"/>
    </row>
    <row r="92" spans="3:42" x14ac:dyDescent="0.25">
      <c r="C92" s="5"/>
      <c r="E92" s="5"/>
      <c r="G92" s="5"/>
      <c r="H92" s="5"/>
      <c r="I92" s="5"/>
      <c r="J92" s="5"/>
      <c r="K92" s="5"/>
      <c r="L92" s="5"/>
      <c r="M92" s="5"/>
      <c r="N92" s="5"/>
      <c r="P92" s="5"/>
      <c r="Q92" s="5"/>
      <c r="R92" s="5"/>
      <c r="S92" s="5"/>
      <c r="T92" s="25"/>
      <c r="U92" s="5"/>
      <c r="V92" s="5"/>
      <c r="W92" s="5"/>
      <c r="X92" s="5"/>
      <c r="Z92" s="5"/>
      <c r="AB92" s="5"/>
      <c r="AP92" s="5"/>
    </row>
    <row r="93" spans="3:42" x14ac:dyDescent="0.25">
      <c r="C93" s="5"/>
      <c r="G93" s="5"/>
      <c r="H93" s="5"/>
      <c r="I93" s="5"/>
      <c r="J93" s="5"/>
      <c r="K93" s="5"/>
      <c r="L93" s="5"/>
      <c r="M93" s="5"/>
      <c r="N93" s="5"/>
      <c r="P93" s="5"/>
      <c r="Q93" s="5"/>
      <c r="R93" s="5"/>
      <c r="S93" s="5"/>
      <c r="T93" s="25"/>
      <c r="U93" s="5"/>
      <c r="V93" s="5"/>
      <c r="W93" s="5"/>
      <c r="X93" s="5"/>
      <c r="Z93" s="5"/>
      <c r="AB93" s="5"/>
      <c r="AP93" s="5"/>
    </row>
    <row r="94" spans="3:42" x14ac:dyDescent="0.25">
      <c r="C94" s="5"/>
      <c r="G94" s="5"/>
      <c r="H94" s="5"/>
      <c r="I94" s="5"/>
      <c r="J94" s="5"/>
      <c r="K94" s="5"/>
      <c r="L94" s="5"/>
      <c r="M94" s="5"/>
      <c r="N94" s="5"/>
      <c r="P94" s="5"/>
      <c r="Q94" s="5"/>
      <c r="R94" s="5"/>
      <c r="S94" s="5"/>
      <c r="T94" s="25"/>
      <c r="U94" s="5"/>
      <c r="V94" s="5"/>
      <c r="W94" s="5"/>
      <c r="X94" s="5"/>
      <c r="Z94" s="5"/>
      <c r="AB94" s="5"/>
      <c r="AP94" s="5"/>
    </row>
    <row r="95" spans="3:42" x14ac:dyDescent="0.25">
      <c r="C95" s="5"/>
      <c r="G95" s="5"/>
      <c r="H95" s="5"/>
      <c r="I95" s="5"/>
      <c r="J95" s="5"/>
      <c r="K95" s="5"/>
      <c r="L95" s="5"/>
      <c r="M95" s="5"/>
      <c r="N95" s="5"/>
      <c r="P95" s="5"/>
      <c r="Q95" s="5"/>
      <c r="R95" s="5"/>
      <c r="S95" s="5"/>
      <c r="T95" s="25"/>
      <c r="U95" s="5"/>
      <c r="V95" s="5"/>
      <c r="W95" s="5"/>
      <c r="X95" s="5"/>
      <c r="Z95" s="5"/>
      <c r="AB95" s="5"/>
      <c r="AP95" s="5"/>
    </row>
    <row r="96" spans="3:42" x14ac:dyDescent="0.25">
      <c r="C96" s="5"/>
      <c r="G96" s="5"/>
      <c r="H96" s="5"/>
      <c r="I96" s="5"/>
      <c r="J96" s="5"/>
      <c r="K96" s="5"/>
      <c r="L96" s="5"/>
      <c r="M96" s="5"/>
      <c r="N96" s="5"/>
      <c r="P96" s="5"/>
      <c r="Q96" s="5"/>
      <c r="R96" s="5"/>
      <c r="S96" s="5"/>
      <c r="T96" s="25"/>
      <c r="U96" s="5"/>
      <c r="V96" s="5"/>
      <c r="W96" s="5"/>
      <c r="X96" s="5"/>
      <c r="Z96" s="5"/>
      <c r="AB96" s="5"/>
      <c r="AP96" s="5"/>
    </row>
    <row r="97" spans="7:42" x14ac:dyDescent="0.25">
      <c r="G97" s="5"/>
      <c r="H97" s="5"/>
      <c r="I97" s="5"/>
      <c r="J97" s="5"/>
      <c r="K97" s="5"/>
      <c r="L97" s="5"/>
      <c r="M97" s="5"/>
      <c r="N97" s="5"/>
      <c r="P97" s="5"/>
      <c r="Q97" s="5"/>
      <c r="R97" s="5"/>
      <c r="S97" s="5"/>
      <c r="T97" s="25"/>
      <c r="U97" s="5"/>
      <c r="V97" s="5"/>
      <c r="W97" s="5"/>
      <c r="X97" s="5"/>
      <c r="Z97" s="5"/>
      <c r="AB97" s="5"/>
      <c r="AP97" s="5"/>
    </row>
    <row r="98" spans="7:42" x14ac:dyDescent="0.25">
      <c r="AP98" s="5"/>
    </row>
    <row r="99" spans="7:42" x14ac:dyDescent="0.25">
      <c r="AP99" s="5"/>
    </row>
    <row r="100" spans="7:42" x14ac:dyDescent="0.25">
      <c r="AP100" s="5"/>
    </row>
    <row r="101" spans="7:42" x14ac:dyDescent="0.25">
      <c r="AP101" s="5"/>
    </row>
    <row r="102" spans="7:42" x14ac:dyDescent="0.25">
      <c r="AP102" s="5"/>
    </row>
    <row r="103" spans="7:42" x14ac:dyDescent="0.25">
      <c r="AP103" s="5"/>
    </row>
    <row r="105" spans="7:42" x14ac:dyDescent="0.25">
      <c r="AP105" s="5"/>
    </row>
    <row r="107" spans="7:42" x14ac:dyDescent="0.25">
      <c r="I107" s="5"/>
      <c r="J107" s="5"/>
      <c r="K107" s="5"/>
      <c r="L107" s="5"/>
      <c r="M107" s="5"/>
      <c r="N107" s="5"/>
      <c r="W107" s="5"/>
      <c r="X107" s="5"/>
      <c r="Y107" s="5"/>
      <c r="Z107" s="5"/>
      <c r="AA107" s="5"/>
      <c r="AB107" s="5"/>
      <c r="AC107" s="5"/>
    </row>
    <row r="108" spans="7:42" x14ac:dyDescent="0.25">
      <c r="I108" s="5"/>
      <c r="J108" s="5"/>
      <c r="K108" s="5"/>
      <c r="L108" s="5"/>
      <c r="M108" s="5"/>
      <c r="N108" s="5"/>
      <c r="W108" s="5"/>
      <c r="X108" s="5"/>
      <c r="Y108" s="5"/>
      <c r="Z108" s="5"/>
      <c r="AA108" s="5"/>
      <c r="AB108" s="5"/>
      <c r="AC108" s="5"/>
    </row>
    <row r="109" spans="7:42" x14ac:dyDescent="0.25">
      <c r="I109" s="5"/>
      <c r="J109" s="5"/>
      <c r="K109" s="5"/>
      <c r="L109" s="5"/>
      <c r="M109" s="5"/>
      <c r="N109" s="5"/>
      <c r="W109" s="5"/>
      <c r="X109" s="5"/>
      <c r="Y109" s="5"/>
      <c r="Z109" s="5"/>
      <c r="AA109" s="5"/>
      <c r="AB109" s="5"/>
      <c r="AC109" s="5"/>
    </row>
    <row r="110" spans="7:42" x14ac:dyDescent="0.25">
      <c r="I110" s="5"/>
      <c r="J110" s="5"/>
      <c r="K110" s="5"/>
      <c r="L110" s="5"/>
      <c r="M110" s="5"/>
      <c r="N110" s="5"/>
      <c r="W110" s="5"/>
      <c r="X110" s="5"/>
      <c r="Y110" s="5"/>
      <c r="Z110" s="5"/>
      <c r="AA110" s="5"/>
      <c r="AB110" s="5"/>
      <c r="AC110" s="5"/>
    </row>
    <row r="111" spans="7:42" x14ac:dyDescent="0.25">
      <c r="I111" s="5"/>
      <c r="J111" s="5"/>
      <c r="K111" s="5"/>
      <c r="L111" s="5"/>
      <c r="M111" s="5"/>
      <c r="N111" s="5"/>
      <c r="W111" s="5"/>
      <c r="X111" s="5"/>
      <c r="Y111" s="5"/>
      <c r="Z111" s="5"/>
      <c r="AA111" s="5"/>
      <c r="AB111" s="5"/>
      <c r="AC111" s="5"/>
    </row>
    <row r="112" spans="7:42" x14ac:dyDescent="0.25">
      <c r="I112" s="5"/>
      <c r="J112" s="5"/>
      <c r="K112" s="5"/>
      <c r="L112" s="5"/>
      <c r="M112" s="5"/>
      <c r="N112" s="5"/>
      <c r="W112" s="5"/>
      <c r="X112" s="5"/>
      <c r="Y112" s="5"/>
      <c r="Z112" s="5"/>
      <c r="AA112" s="5"/>
      <c r="AB112" s="5"/>
      <c r="AC112" s="5"/>
    </row>
    <row r="113" spans="9:29" x14ac:dyDescent="0.25">
      <c r="I113" s="5"/>
      <c r="J113" s="5"/>
      <c r="K113" s="5"/>
      <c r="L113" s="5"/>
      <c r="M113" s="5"/>
      <c r="N113" s="5"/>
      <c r="W113" s="5"/>
      <c r="X113" s="5"/>
      <c r="Y113" s="5"/>
      <c r="Z113" s="5"/>
      <c r="AA113" s="5"/>
      <c r="AB113" s="5"/>
      <c r="AC113" s="5"/>
    </row>
    <row r="114" spans="9:29" x14ac:dyDescent="0.25">
      <c r="I114" s="5"/>
      <c r="J114" s="5"/>
      <c r="K114" s="5"/>
      <c r="L114" s="5"/>
      <c r="M114" s="5"/>
      <c r="N114" s="5"/>
      <c r="W114" s="5"/>
      <c r="X114" s="5"/>
      <c r="Y114" s="5"/>
      <c r="Z114" s="5"/>
      <c r="AA114" s="5"/>
      <c r="AB114" s="5"/>
      <c r="AC114" s="5"/>
    </row>
    <row r="115" spans="9:29" x14ac:dyDescent="0.25">
      <c r="I115" s="5"/>
      <c r="J115" s="5"/>
      <c r="K115" s="5"/>
      <c r="L115" s="5"/>
      <c r="M115" s="5"/>
      <c r="N115" s="5"/>
      <c r="W115" s="5"/>
      <c r="X115" s="5"/>
      <c r="Y115" s="5"/>
      <c r="Z115" s="5"/>
      <c r="AA115" s="5"/>
      <c r="AB115" s="5"/>
      <c r="AC115" s="5"/>
    </row>
    <row r="116" spans="9:29" x14ac:dyDescent="0.25">
      <c r="I116" s="5"/>
      <c r="J116" s="5"/>
      <c r="K116" s="5"/>
      <c r="L116" s="5"/>
      <c r="M116" s="5"/>
      <c r="N116" s="5"/>
      <c r="W116" s="5"/>
      <c r="X116" s="5"/>
      <c r="Y116" s="5"/>
      <c r="Z116" s="5"/>
      <c r="AA116" s="5"/>
      <c r="AB116" s="5"/>
      <c r="AC116" s="5"/>
    </row>
    <row r="117" spans="9:29" x14ac:dyDescent="0.25">
      <c r="I117" s="5"/>
      <c r="J117" s="5"/>
      <c r="K117" s="5"/>
      <c r="L117" s="5"/>
      <c r="M117" s="5"/>
      <c r="N117" s="5"/>
      <c r="W117" s="5"/>
      <c r="X117" s="5"/>
      <c r="Y117" s="5"/>
      <c r="Z117" s="5"/>
      <c r="AA117" s="5"/>
      <c r="AB117" s="5"/>
      <c r="AC117" s="5"/>
    </row>
    <row r="118" spans="9:29" x14ac:dyDescent="0.25">
      <c r="I118" s="5"/>
      <c r="J118" s="5"/>
      <c r="K118" s="5"/>
      <c r="L118" s="5"/>
      <c r="M118" s="5"/>
      <c r="N118" s="5"/>
      <c r="W118" s="5"/>
      <c r="X118" s="5"/>
      <c r="Y118" s="5"/>
      <c r="Z118" s="5"/>
      <c r="AA118" s="5"/>
      <c r="AB118" s="5"/>
      <c r="AC118" s="5"/>
    </row>
    <row r="119" spans="9:29" x14ac:dyDescent="0.25">
      <c r="I119" s="5"/>
      <c r="J119" s="5"/>
      <c r="K119" s="5"/>
      <c r="L119" s="5"/>
      <c r="M119" s="5"/>
      <c r="N119" s="5"/>
      <c r="W119" s="5"/>
      <c r="X119" s="5"/>
      <c r="Y119" s="5"/>
      <c r="Z119" s="5"/>
      <c r="AA119" s="5"/>
      <c r="AB119" s="5"/>
      <c r="AC119" s="5"/>
    </row>
    <row r="120" spans="9:29" x14ac:dyDescent="0.25">
      <c r="I120" s="5"/>
      <c r="J120" s="5"/>
      <c r="K120" s="5"/>
      <c r="L120" s="5"/>
      <c r="M120" s="5"/>
      <c r="N120" s="5"/>
      <c r="W120" s="5"/>
      <c r="X120" s="5"/>
      <c r="Y120" s="5"/>
      <c r="Z120" s="5"/>
      <c r="AA120" s="5"/>
      <c r="AB120" s="5"/>
      <c r="AC120" s="5"/>
    </row>
    <row r="121" spans="9:29" x14ac:dyDescent="0.25">
      <c r="I121" s="5"/>
      <c r="W121" s="42"/>
      <c r="X121" s="42"/>
    </row>
  </sheetData>
  <sheetProtection sheet="1" objects="1" scenarios="1" selectLockedCells="1" selectUnlockedCells="1"/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7:B12"/>
  <sheetViews>
    <sheetView workbookViewId="0">
      <selection activeCell="B12" sqref="B12"/>
    </sheetView>
  </sheetViews>
  <sheetFormatPr defaultRowHeight="13.2" x14ac:dyDescent="0.25"/>
  <sheetData>
    <row r="7" spans="2:2" x14ac:dyDescent="0.25">
      <c r="B7" s="99" t="s">
        <v>200</v>
      </c>
    </row>
    <row r="8" spans="2:2" x14ac:dyDescent="0.25">
      <c r="B8" s="99" t="s">
        <v>201</v>
      </c>
    </row>
    <row r="11" spans="2:2" x14ac:dyDescent="0.25">
      <c r="B11">
        <f xml:space="preserve"> 3.1429 - 9.5657 + 7.4229</f>
        <v>1.0001000000000007</v>
      </c>
    </row>
    <row r="12" spans="2:2" x14ac:dyDescent="0.25">
      <c r="B12">
        <f>0.1/3600*(135.4 - 311.07 + 175.67)</f>
        <v>0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Equations</vt:lpstr>
      <vt:lpstr>Equations-Protected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Jetten, Victor (UT-ITC)</cp:lastModifiedBy>
  <cp:lastPrinted>2018-09-06T09:38:05Z</cp:lastPrinted>
  <dcterms:created xsi:type="dcterms:W3CDTF">2005-10-05T20:44:33Z</dcterms:created>
  <dcterms:modified xsi:type="dcterms:W3CDTF">2024-12-23T13:28:51Z</dcterms:modified>
</cp:coreProperties>
</file>