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6047bb88935478/Documents/GitHub/phillongworth.github.io/"/>
    </mc:Choice>
  </mc:AlternateContent>
  <xr:revisionPtr revIDLastSave="345" documentId="13_ncr:1_{4C98DF0E-1A9F-4D1E-8CF7-90BDB97BB963}" xr6:coauthVersionLast="47" xr6:coauthVersionMax="47" xr10:uidLastSave="{67BC6C96-7455-4179-A16F-142FBF341BCF}"/>
  <bookViews>
    <workbookView xWindow="-23148" yWindow="-108" windowWidth="23256" windowHeight="12456" xr2:uid="{A26A407F-7D9C-4DF8-BC8F-7B9BCBDAC91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2" l="1"/>
  <c r="R6" i="2"/>
  <c r="J7" i="2"/>
  <c r="K7" i="2"/>
  <c r="L55" i="1"/>
  <c r="M55" i="1"/>
  <c r="K6" i="2"/>
  <c r="J6" i="2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6" i="2"/>
  <c r="R7" i="2" s="1"/>
  <c r="O9" i="1" s="1"/>
  <c r="J9" i="1" s="1"/>
  <c r="N7" i="2"/>
  <c r="N8" i="2"/>
  <c r="O8" i="2"/>
  <c r="G101" i="2"/>
  <c r="N3" i="2"/>
  <c r="O3" i="2" s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N4" i="2"/>
  <c r="O4" i="2" s="1"/>
  <c r="N5" i="2"/>
  <c r="N2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2" i="1"/>
  <c r="I2" i="1" s="1"/>
  <c r="I3" i="1" s="1"/>
  <c r="I2" i="2"/>
  <c r="K2" i="2" s="1"/>
  <c r="G2" i="2"/>
  <c r="J2" i="2" s="1"/>
  <c r="I3" i="2"/>
  <c r="G3" i="2"/>
  <c r="I4" i="2"/>
  <c r="G4" i="2"/>
  <c r="I5" i="2"/>
  <c r="G5" i="2"/>
  <c r="E2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D55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O6" i="2" l="1"/>
  <c r="Q7" i="2"/>
  <c r="N9" i="1" s="1"/>
  <c r="R8" i="2"/>
  <c r="O10" i="1" s="1"/>
  <c r="J10" i="1" s="1"/>
  <c r="P2" i="2" a="1"/>
  <c r="C5" i="1"/>
  <c r="C6" i="1"/>
  <c r="Q8" i="2"/>
  <c r="N10" i="1" s="1"/>
  <c r="F10" i="1" s="1"/>
  <c r="O7" i="2"/>
  <c r="F12" i="1"/>
  <c r="F51" i="1"/>
  <c r="F43" i="1"/>
  <c r="F35" i="1"/>
  <c r="F27" i="1"/>
  <c r="F19" i="1"/>
  <c r="J2" i="1"/>
  <c r="O5" i="2"/>
  <c r="F47" i="1"/>
  <c r="F39" i="1"/>
  <c r="F31" i="1"/>
  <c r="F23" i="1"/>
  <c r="F15" i="1"/>
  <c r="O2" i="2"/>
  <c r="I101" i="2"/>
  <c r="N2" i="1"/>
  <c r="F14" i="1"/>
  <c r="F16" i="1"/>
  <c r="F18" i="1"/>
  <c r="F20" i="1"/>
  <c r="F22" i="1"/>
  <c r="F24" i="1"/>
  <c r="F26" i="1"/>
  <c r="F28" i="1"/>
  <c r="F30" i="1"/>
  <c r="F32" i="1"/>
  <c r="F34" i="1"/>
  <c r="F36" i="1"/>
  <c r="F38" i="1"/>
  <c r="F40" i="1"/>
  <c r="F42" i="1"/>
  <c r="F44" i="1"/>
  <c r="F46" i="1"/>
  <c r="F48" i="1"/>
  <c r="F50" i="1"/>
  <c r="F52" i="1"/>
  <c r="F54" i="1"/>
  <c r="F9" i="1"/>
  <c r="F11" i="1"/>
  <c r="C2" i="1"/>
  <c r="C3" i="1"/>
  <c r="C4" i="1"/>
  <c r="N3" i="1"/>
  <c r="F3" i="1" s="1"/>
  <c r="G3" i="1" s="1"/>
  <c r="F53" i="1"/>
  <c r="F49" i="1"/>
  <c r="F45" i="1"/>
  <c r="F41" i="1"/>
  <c r="F37" i="1"/>
  <c r="F33" i="1"/>
  <c r="F29" i="1"/>
  <c r="F25" i="1"/>
  <c r="F21" i="1"/>
  <c r="F17" i="1"/>
  <c r="F13" i="1"/>
  <c r="J3" i="1"/>
  <c r="K3" i="1" s="1"/>
  <c r="K3" i="2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H55" i="1"/>
  <c r="J3" i="2"/>
  <c r="R4" i="2" l="1"/>
  <c r="O6" i="1" s="1"/>
  <c r="J6" i="1" s="1"/>
  <c r="O8" i="1"/>
  <c r="J8" i="1" s="1"/>
  <c r="R5" i="2"/>
  <c r="O7" i="1" s="1"/>
  <c r="J7" i="1" s="1"/>
  <c r="Q5" i="2"/>
  <c r="F2" i="1"/>
  <c r="P2" i="2"/>
  <c r="N7" i="1"/>
  <c r="F7" i="1" s="1"/>
  <c r="N8" i="1"/>
  <c r="F8" i="1" s="1"/>
  <c r="Q3" i="2"/>
  <c r="N5" i="1" s="1"/>
  <c r="F5" i="1" s="1"/>
  <c r="Q4" i="2"/>
  <c r="N6" i="1" s="1"/>
  <c r="F6" i="1" s="1"/>
  <c r="R3" i="2"/>
  <c r="O5" i="1" s="1"/>
  <c r="J5" i="1" s="1"/>
  <c r="K4" i="2"/>
  <c r="J4" i="2"/>
  <c r="R2" i="2" l="1"/>
  <c r="O4" i="1" s="1"/>
  <c r="Q2" i="2"/>
  <c r="N4" i="1" s="1"/>
  <c r="K5" i="2"/>
  <c r="J5" i="2"/>
  <c r="F4" i="1" l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R1" i="1" s="1"/>
  <c r="N55" i="1"/>
  <c r="J4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T1" i="1" s="1"/>
  <c r="O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<sst xmlns="http://schemas.openxmlformats.org/spreadsheetml/2006/main" count="42" uniqueCount="31">
  <si>
    <t>Week commencing</t>
  </si>
  <si>
    <t>veloviewer.com</t>
  </si>
  <si>
    <t>When</t>
  </si>
  <si>
    <t>Type</t>
  </si>
  <si>
    <t>Sport Type</t>
  </si>
  <si>
    <t>Gear</t>
  </si>
  <si>
    <t>Name</t>
  </si>
  <si>
    <t>Dist mi</t>
  </si>
  <si>
    <t>Elv ft</t>
  </si>
  <si>
    <t>Ride</t>
  </si>
  <si>
    <t>Merlin</t>
  </si>
  <si>
    <t>Dist (miles)</t>
  </si>
  <si>
    <t>Elv (feet)</t>
  </si>
  <si>
    <t>Planned miles</t>
  </si>
  <si>
    <t>Cumulative miles</t>
  </si>
  <si>
    <t>Dist (cumulative)</t>
  </si>
  <si>
    <t>Feet (cumulative)</t>
  </si>
  <si>
    <t>Actual miles (week)</t>
  </si>
  <si>
    <t>Actual miles (cumulative)</t>
  </si>
  <si>
    <t>Actual ft (week)</t>
  </si>
  <si>
    <t>Actual ft (cumulative)</t>
  </si>
  <si>
    <t>Planned ft</t>
  </si>
  <si>
    <t>Cumulative ft</t>
  </si>
  <si>
    <t>Week no</t>
  </si>
  <si>
    <t>Weeknumber</t>
  </si>
  <si>
    <t>Uniqueweek</t>
  </si>
  <si>
    <t>Actual miles</t>
  </si>
  <si>
    <t>Number of rides</t>
  </si>
  <si>
    <t>Actual ft</t>
  </si>
  <si>
    <t>Tot mileage</t>
  </si>
  <si>
    <t>Tot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</si>
</sst>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020202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rgb="FFEBEBEB"/>
      </left>
      <right style="mediumDashed">
        <color rgb="FFEBEBEB"/>
      </right>
      <top style="mediumDashed">
        <color rgb="FFEBEBEB"/>
      </top>
      <bottom style="mediumDashed">
        <color rgb="FFEBEBEB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2" fontId="3" fillId="0" borderId="1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11">
    <dxf>
      <numFmt numFmtId="1" formatCode="0"/>
    </dxf>
    <dxf>
      <numFmt numFmtId="2" formatCode="0.00"/>
    </dxf>
    <dxf>
      <numFmt numFmtId="27" formatCode="dd/mm/yyyy\ hh:mm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0" formatCode="General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33B22C-8C56-4CA9-A17F-F1BCB616C3D7}" name="Table2" displayName="Table2" ref="A1:K54" totalsRowShown="0" headerRowDxfId="10">
  <autoFilter ref="A1:K54" xr:uid="{6733B22C-8C56-4CA9-A17F-F1BCB616C3D7}"/>
  <tableColumns count="11">
    <tableColumn id="1" xr3:uid="{F31673F5-14DC-4F42-9006-2F94777239F5}" name="Week commencing" dataDxfId="9">
      <calculatedColumnFormula>7+A1</calculatedColumnFormula>
    </tableColumn>
    <tableColumn id="2" xr3:uid="{512D2C8A-F18C-4F98-809D-D85828DFB895}" name="Week no"/>
    <tableColumn id="11" xr3:uid="{C5DB63B4-CA27-4CD5-9457-234F37536383}" name="Number of rides" dataDxfId="8">
      <calculatedColumnFormula>COUNTIF(Sheet2!N2:N10,"="&amp;B2)</calculatedColumnFormula>
    </tableColumn>
    <tableColumn id="3" xr3:uid="{D4A0D4AB-97ED-4112-B5CB-06508C281FE8}" name="Planned miles"/>
    <tableColumn id="4" xr3:uid="{EAC6E893-F486-42BC-82B8-06BAD98BEEDB}" name="Cumulative miles">
      <calculatedColumnFormula>E1+D2</calculatedColumnFormula>
    </tableColumn>
    <tableColumn id="5" xr3:uid="{FB8AB5B3-A130-49D3-928F-B7202521E21C}" name="Actual miles (week)" dataDxfId="7">
      <calculatedColumnFormula>N2</calculatedColumnFormula>
    </tableColumn>
    <tableColumn id="6" xr3:uid="{E880E3D5-CE6B-49FC-A937-540C6B244EEC}" name="Actual miles (cumulative)" dataDxfId="6">
      <calculatedColumnFormula>Sheet2!J2</calculatedColumnFormula>
    </tableColumn>
    <tableColumn id="7" xr3:uid="{874445AB-3682-429E-B15A-EC189D86D12D}" name="Planned ft">
      <calculatedColumnFormula>D2*100</calculatedColumnFormula>
    </tableColumn>
    <tableColumn id="8" xr3:uid="{4DA5F37D-1FBD-4674-AB4C-7EEA73A9C224}" name="Cumulative ft">
      <calculatedColumnFormula>I1+H2</calculatedColumnFormula>
    </tableColumn>
    <tableColumn id="9" xr3:uid="{A602CACD-113B-4AA5-9186-99196F898353}" name="Actual ft (week)" dataDxfId="5">
      <calculatedColumnFormula>SUMIF(Sheet2!$N$2:$N$100, B2, Sheet2!$I$2:$I$100)</calculatedColumnFormula>
    </tableColumn>
    <tableColumn id="10" xr3:uid="{7F60711F-AD64-4007-8432-6EDF243B9B9C}" name="Actual ft (cumulative)" dataDxfId="4">
      <calculatedColumnFormula>Sheet2!K2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33CDB7-9962-4FF0-8466-58FFB9D6287A}" name="Table1" displayName="Table1" ref="A1:K100" totalsRowShown="0" headerRowDxfId="3">
  <autoFilter ref="A1:K100" xr:uid="{3C33CDB7-9962-4FF0-8466-58FFB9D6287A}"/>
  <sortState xmlns:xlrd2="http://schemas.microsoft.com/office/spreadsheetml/2017/richdata2" ref="A2:I5">
    <sortCondition ref="E1:E5"/>
  </sortState>
  <tableColumns count="11">
    <tableColumn id="1" xr3:uid="{F018E7E8-F478-4C2D-B52C-0B5C85D3129F}" name="When" dataDxfId="2"/>
    <tableColumn id="2" xr3:uid="{1101E747-C3D9-4131-8F20-8931C2FCF7CF}" name="Type"/>
    <tableColumn id="3" xr3:uid="{31F23CF9-22F3-4B46-A97C-B264219EB4C3}" name="Sport Type"/>
    <tableColumn id="4" xr3:uid="{5076274C-A0A8-4CEE-A320-5F4FF05DFFB1}" name="Gear"/>
    <tableColumn id="5" xr3:uid="{80211AFC-9813-4AB9-81AF-D505C00C277E}" name="Name"/>
    <tableColumn id="6" xr3:uid="{962F8E50-7DAE-4934-B9E9-C1C8D6F2CCE3}" name="Dist mi"/>
    <tableColumn id="7" xr3:uid="{70847DCA-CC3D-4031-8C22-F1C0665521DE}" name="Dist (miles)" dataDxfId="1">
      <calculatedColumnFormula>CONVERT(F2,"m","mi")</calculatedColumnFormula>
    </tableColumn>
    <tableColumn id="8" xr3:uid="{F4E3613D-C261-435A-851F-90AC0685FB0D}" name="Elv ft"/>
    <tableColumn id="9" xr3:uid="{1BE532E9-3E15-4CD7-8B94-2D3097057AA7}" name="Elv (feet)" dataDxfId="0">
      <calculatedColumnFormula>CONVERT(H2,"m","ft")</calculatedColumnFormula>
    </tableColumn>
    <tableColumn id="13" xr3:uid="{882A6F0D-44E8-4819-8573-19F54CECEA54}" name="Dist (cumulative)"/>
    <tableColumn id="14" xr3:uid="{BE1A5A04-F6EB-4BB2-AB77-C5AA53F7CDFD}" name="Feet (cumulative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eloviewer.com/athlete/2825069/activities?o=0:1&amp;f=0:1735603200000|1000000,1:Ride&amp;c=0,0,5,6,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15FB8-CAF0-4016-A0E3-5376CE86D4B3}">
  <dimension ref="A1:U55"/>
  <sheetViews>
    <sheetView tabSelected="1" topLeftCell="B1" workbookViewId="0">
      <pane ySplit="1" topLeftCell="A2" activePane="bottomLeft" state="frozen"/>
      <selection pane="bottomLeft" activeCell="T1" sqref="T1"/>
    </sheetView>
  </sheetViews>
  <sheetFormatPr defaultRowHeight="14.4"/>
  <cols>
    <col min="1" max="1" width="15.109375" customWidth="1"/>
    <col min="2" max="11" width="12.33203125" customWidth="1"/>
    <col min="18" max="18" width="10.33203125" style="1" bestFit="1" customWidth="1"/>
  </cols>
  <sheetData>
    <row r="1" spans="1:21" s="8" customFormat="1" ht="45.75" customHeight="1">
      <c r="A1" s="8" t="s">
        <v>0</v>
      </c>
      <c r="B1" s="8" t="s">
        <v>23</v>
      </c>
      <c r="C1" s="8" t="s">
        <v>27</v>
      </c>
      <c r="D1" s="8" t="s">
        <v>13</v>
      </c>
      <c r="E1" s="8" t="s">
        <v>14</v>
      </c>
      <c r="F1" s="8" t="s">
        <v>17</v>
      </c>
      <c r="G1" s="8" t="s">
        <v>18</v>
      </c>
      <c r="H1" s="8" t="s">
        <v>21</v>
      </c>
      <c r="I1" s="8" t="s">
        <v>22</v>
      </c>
      <c r="J1" s="8" t="s">
        <v>19</v>
      </c>
      <c r="K1" s="8" t="s">
        <v>20</v>
      </c>
      <c r="N1" s="8" t="s">
        <v>26</v>
      </c>
      <c r="O1" s="8" t="s">
        <v>28</v>
      </c>
      <c r="Q1" t="s">
        <v>29</v>
      </c>
      <c r="R1" s="6">
        <f>G54</f>
        <v>85.271111011691715</v>
      </c>
      <c r="S1" s="8" t="s">
        <v>30</v>
      </c>
      <c r="T1" s="2">
        <f>K54</f>
        <v>7502.8976377952749</v>
      </c>
      <c r="U1"/>
    </row>
    <row r="2" spans="1:21">
      <c r="A2" s="1">
        <v>45662</v>
      </c>
      <c r="B2">
        <v>1</v>
      </c>
      <c r="C2">
        <f>COUNTIF(Sheet2!N2:N10,"="&amp;B2)</f>
        <v>1</v>
      </c>
      <c r="D2">
        <v>10</v>
      </c>
      <c r="E2">
        <f>D2</f>
        <v>10</v>
      </c>
      <c r="F2" s="5">
        <f>N2</f>
        <v>0</v>
      </c>
      <c r="G2" s="5">
        <v>0</v>
      </c>
      <c r="H2">
        <f>D2*100</f>
        <v>1000</v>
      </c>
      <c r="I2">
        <f>H2</f>
        <v>1000</v>
      </c>
      <c r="J2" s="2">
        <f>SUMIF(Sheet2!$N$2:$N$100, B2, Sheet2!$I$2:$I$100)</f>
        <v>0</v>
      </c>
      <c r="K2" s="2">
        <v>0</v>
      </c>
      <c r="N2" s="5">
        <f>SUMIF(Sheet2!$N$2:$N$100, B2, Sheet2!$G$2:$G$100)</f>
        <v>0</v>
      </c>
    </row>
    <row r="3" spans="1:21">
      <c r="A3" s="1">
        <f>7+A2</f>
        <v>45669</v>
      </c>
      <c r="B3">
        <v>2</v>
      </c>
      <c r="C3">
        <f>COUNTIF(Sheet2!N3:N11,"="&amp;B3)</f>
        <v>0</v>
      </c>
      <c r="D3">
        <v>10</v>
      </c>
      <c r="E3">
        <f t="shared" ref="E3:E34" si="0">E2+D3</f>
        <v>20</v>
      </c>
      <c r="F3" s="5">
        <f t="shared" ref="F3:F54" si="1">N3</f>
        <v>0</v>
      </c>
      <c r="G3" s="5">
        <f>G2+Table2[[#This Row],[Actual miles (week)]]</f>
        <v>0</v>
      </c>
      <c r="H3">
        <f t="shared" ref="H3:H54" si="2">D3*100</f>
        <v>1000</v>
      </c>
      <c r="I3">
        <f t="shared" ref="I3:I34" si="3">I2+H3</f>
        <v>2000</v>
      </c>
      <c r="J3" s="2">
        <f>SUMIF(Sheet2!$N$2:$N$100, B3, Sheet2!$I$2:$I$100)</f>
        <v>0</v>
      </c>
      <c r="K3" s="2">
        <f>K2+Table2[[#This Row],[Actual ft (week)]]</f>
        <v>0</v>
      </c>
      <c r="N3" s="5">
        <f>SUMIF(Sheet2!$N$2:$N$100, B3, Sheet2!$G$2:$G$100)</f>
        <v>0</v>
      </c>
    </row>
    <row r="4" spans="1:21">
      <c r="A4" s="1">
        <f t="shared" ref="A4:A53" si="4">7+A3</f>
        <v>45676</v>
      </c>
      <c r="B4">
        <v>3</v>
      </c>
      <c r="C4">
        <f>COUNTIF(Sheet2!N4:N12,"="&amp;B4)</f>
        <v>0</v>
      </c>
      <c r="D4">
        <v>10</v>
      </c>
      <c r="E4">
        <f t="shared" si="0"/>
        <v>30</v>
      </c>
      <c r="F4" s="5">
        <f t="shared" si="1"/>
        <v>27.539544062673983</v>
      </c>
      <c r="G4" s="5">
        <f>G3+Table2[[#This Row],[Actual miles (week)]]</f>
        <v>27.539544062673983</v>
      </c>
      <c r="H4">
        <f t="shared" si="2"/>
        <v>1000</v>
      </c>
      <c r="I4">
        <f t="shared" si="3"/>
        <v>3000</v>
      </c>
      <c r="J4" s="2">
        <f>O4</f>
        <v>2260.4986876640419</v>
      </c>
      <c r="K4" s="2">
        <f>K3+Table2[[#This Row],[Actual ft (week)]]</f>
        <v>2260.4986876640419</v>
      </c>
      <c r="N4" s="5">
        <f>Sheet2!Q2</f>
        <v>27.539544062673983</v>
      </c>
      <c r="O4" s="6">
        <f>Sheet2!R2</f>
        <v>2260.4986876640419</v>
      </c>
    </row>
    <row r="5" spans="1:21">
      <c r="A5" s="1">
        <f t="shared" si="4"/>
        <v>45683</v>
      </c>
      <c r="B5">
        <v>4</v>
      </c>
      <c r="C5">
        <f>COUNTIF(Sheet2!N5:N13,"="&amp;B5)</f>
        <v>0</v>
      </c>
      <c r="D5">
        <v>10</v>
      </c>
      <c r="E5">
        <f t="shared" si="0"/>
        <v>40</v>
      </c>
      <c r="F5" s="5">
        <f t="shared" si="1"/>
        <v>11.517115048118985</v>
      </c>
      <c r="G5" s="5">
        <f>G4+Table2[[#This Row],[Actual miles (week)]]</f>
        <v>39.056659110792964</v>
      </c>
      <c r="H5">
        <f t="shared" si="2"/>
        <v>1000</v>
      </c>
      <c r="I5">
        <f t="shared" si="3"/>
        <v>4000</v>
      </c>
      <c r="J5" s="2">
        <f t="shared" ref="J5:J54" si="5">O5</f>
        <v>912.07349081364828</v>
      </c>
      <c r="K5" s="2">
        <f>K4+Table2[[#This Row],[Actual ft (week)]]</f>
        <v>3172.5721784776902</v>
      </c>
      <c r="N5" s="5">
        <f>Sheet2!Q3</f>
        <v>11.517115048118985</v>
      </c>
      <c r="O5" s="6">
        <f>Sheet2!R3</f>
        <v>912.07349081364828</v>
      </c>
    </row>
    <row r="6" spans="1:21">
      <c r="A6" s="1">
        <f t="shared" si="4"/>
        <v>45690</v>
      </c>
      <c r="B6">
        <v>5</v>
      </c>
      <c r="C6">
        <f>COUNTIF(Sheet2!N6:N14,"="&amp;B6)</f>
        <v>0</v>
      </c>
      <c r="D6">
        <v>10</v>
      </c>
      <c r="E6">
        <f t="shared" si="0"/>
        <v>50</v>
      </c>
      <c r="F6" s="5">
        <f t="shared" si="1"/>
        <v>31.11445190089875</v>
      </c>
      <c r="G6" s="5">
        <f>G5+Table2[[#This Row],[Actual miles (week)]]</f>
        <v>70.171111011691721</v>
      </c>
      <c r="H6">
        <f t="shared" si="2"/>
        <v>1000</v>
      </c>
      <c r="I6">
        <f t="shared" si="3"/>
        <v>5000</v>
      </c>
      <c r="J6" s="2">
        <f t="shared" si="5"/>
        <v>2676.3254593175852</v>
      </c>
      <c r="K6" s="2">
        <f>K5+Table2[[#This Row],[Actual ft (week)]]</f>
        <v>5848.8976377952749</v>
      </c>
      <c r="N6" s="5">
        <f>Sheet2!Q4</f>
        <v>31.11445190089875</v>
      </c>
      <c r="O6" s="6">
        <f>Sheet2!R4</f>
        <v>2676.3254593175852</v>
      </c>
    </row>
    <row r="7" spans="1:21">
      <c r="A7" s="1">
        <f t="shared" si="4"/>
        <v>45697</v>
      </c>
      <c r="B7">
        <v>6</v>
      </c>
      <c r="C7">
        <f>COUNTIF(Sheet2!N7:N15,"="&amp;B7)</f>
        <v>0</v>
      </c>
      <c r="D7">
        <v>10</v>
      </c>
      <c r="E7">
        <f t="shared" si="0"/>
        <v>60</v>
      </c>
      <c r="F7" s="5">
        <f t="shared" si="1"/>
        <v>15.1</v>
      </c>
      <c r="G7" s="5">
        <f>G6+Table2[[#This Row],[Actual miles (week)]]</f>
        <v>85.271111011691715</v>
      </c>
      <c r="H7">
        <f t="shared" si="2"/>
        <v>1000</v>
      </c>
      <c r="I7">
        <f t="shared" si="3"/>
        <v>6000</v>
      </c>
      <c r="J7" s="2">
        <f t="shared" si="5"/>
        <v>1654</v>
      </c>
      <c r="K7" s="2">
        <f>K6+Table2[[#This Row],[Actual ft (week)]]</f>
        <v>7502.8976377952749</v>
      </c>
      <c r="N7" s="5">
        <f>Sheet2!Q5</f>
        <v>15.1</v>
      </c>
      <c r="O7" s="6">
        <f>Sheet2!R5</f>
        <v>1654</v>
      </c>
    </row>
    <row r="8" spans="1:21">
      <c r="A8" s="1">
        <f t="shared" si="4"/>
        <v>45704</v>
      </c>
      <c r="B8">
        <v>7</v>
      </c>
      <c r="C8">
        <f>COUNTIF(Sheet2!N8:N16,"="&amp;B8)</f>
        <v>0</v>
      </c>
      <c r="D8">
        <v>10</v>
      </c>
      <c r="E8">
        <f t="shared" si="0"/>
        <v>70</v>
      </c>
      <c r="F8" s="5">
        <f t="shared" si="1"/>
        <v>0</v>
      </c>
      <c r="G8" s="5">
        <f>G7+Table2[[#This Row],[Actual miles (week)]]</f>
        <v>85.271111011691715</v>
      </c>
      <c r="H8">
        <f t="shared" si="2"/>
        <v>1000</v>
      </c>
      <c r="I8">
        <f t="shared" si="3"/>
        <v>7000</v>
      </c>
      <c r="J8" s="2">
        <f t="shared" si="5"/>
        <v>0</v>
      </c>
      <c r="K8" s="2">
        <f>K7+Table2[[#This Row],[Actual ft (week)]]</f>
        <v>7502.8976377952749</v>
      </c>
      <c r="N8" s="5">
        <f>Sheet2!Q6</f>
        <v>0</v>
      </c>
      <c r="O8" s="6">
        <f>Sheet2!R6</f>
        <v>0</v>
      </c>
    </row>
    <row r="9" spans="1:21">
      <c r="A9" s="1">
        <f t="shared" si="4"/>
        <v>45711</v>
      </c>
      <c r="B9">
        <v>8</v>
      </c>
      <c r="C9">
        <f>COUNTIF(Sheet2!N9:N17,"="&amp;B9)</f>
        <v>0</v>
      </c>
      <c r="D9">
        <v>10</v>
      </c>
      <c r="E9">
        <f t="shared" si="0"/>
        <v>80</v>
      </c>
      <c r="F9" s="5">
        <f t="shared" si="1"/>
        <v>0</v>
      </c>
      <c r="G9" s="5">
        <f>G8+Table2[[#This Row],[Actual miles (week)]]</f>
        <v>85.271111011691715</v>
      </c>
      <c r="H9">
        <f t="shared" si="2"/>
        <v>1000</v>
      </c>
      <c r="I9">
        <f t="shared" si="3"/>
        <v>8000</v>
      </c>
      <c r="J9" s="2">
        <f t="shared" si="5"/>
        <v>0</v>
      </c>
      <c r="K9" s="2">
        <f>K8+Table2[[#This Row],[Actual ft (week)]]</f>
        <v>7502.8976377952749</v>
      </c>
      <c r="N9" s="5">
        <f>Sheet2!Q7</f>
        <v>0</v>
      </c>
      <c r="O9" s="6">
        <f>Sheet2!R7</f>
        <v>0</v>
      </c>
    </row>
    <row r="10" spans="1:21">
      <c r="A10" s="1">
        <f t="shared" si="4"/>
        <v>45718</v>
      </c>
      <c r="B10">
        <v>9</v>
      </c>
      <c r="C10">
        <f>COUNTIF(Sheet2!N10:N18,"="&amp;B10)</f>
        <v>0</v>
      </c>
      <c r="D10">
        <v>10</v>
      </c>
      <c r="E10">
        <f t="shared" si="0"/>
        <v>90</v>
      </c>
      <c r="F10" s="5">
        <f t="shared" si="1"/>
        <v>0</v>
      </c>
      <c r="G10" s="5">
        <f>G9+Table2[[#This Row],[Actual miles (week)]]</f>
        <v>85.271111011691715</v>
      </c>
      <c r="H10">
        <f t="shared" si="2"/>
        <v>1000</v>
      </c>
      <c r="I10">
        <f t="shared" si="3"/>
        <v>9000</v>
      </c>
      <c r="J10" s="2">
        <f t="shared" si="5"/>
        <v>0</v>
      </c>
      <c r="K10" s="2">
        <f>K9+Table2[[#This Row],[Actual ft (week)]]</f>
        <v>7502.8976377952749</v>
      </c>
      <c r="N10" s="5">
        <f>Sheet2!Q8</f>
        <v>0</v>
      </c>
      <c r="O10" s="6">
        <f>Sheet2!R8</f>
        <v>0</v>
      </c>
    </row>
    <row r="11" spans="1:21">
      <c r="A11" s="1">
        <f t="shared" si="4"/>
        <v>45725</v>
      </c>
      <c r="B11">
        <v>10</v>
      </c>
      <c r="C11">
        <f>COUNTIF(Sheet2!N11:N19,"="&amp;B11)</f>
        <v>0</v>
      </c>
      <c r="D11">
        <v>10</v>
      </c>
      <c r="E11">
        <f t="shared" si="0"/>
        <v>100</v>
      </c>
      <c r="F11" s="5">
        <f t="shared" si="1"/>
        <v>0</v>
      </c>
      <c r="G11" s="5">
        <f>G10+Table2[[#This Row],[Actual miles (week)]]</f>
        <v>85.271111011691715</v>
      </c>
      <c r="H11">
        <f t="shared" si="2"/>
        <v>1000</v>
      </c>
      <c r="I11">
        <f t="shared" si="3"/>
        <v>10000</v>
      </c>
      <c r="J11" s="2">
        <f t="shared" si="5"/>
        <v>0</v>
      </c>
      <c r="K11" s="2">
        <f>K10+Table2[[#This Row],[Actual ft (week)]]</f>
        <v>7502.8976377952749</v>
      </c>
      <c r="N11" s="5">
        <f>Sheet2!Q9</f>
        <v>0</v>
      </c>
    </row>
    <row r="12" spans="1:21">
      <c r="A12" s="1">
        <f t="shared" si="4"/>
        <v>45732</v>
      </c>
      <c r="B12">
        <v>11</v>
      </c>
      <c r="C12">
        <f>COUNTIF(Sheet2!N12:N20,"="&amp;B12)</f>
        <v>0</v>
      </c>
      <c r="D12">
        <v>10</v>
      </c>
      <c r="E12">
        <f t="shared" si="0"/>
        <v>110</v>
      </c>
      <c r="F12" s="5">
        <f t="shared" si="1"/>
        <v>0</v>
      </c>
      <c r="G12" s="5">
        <f>G11+Table2[[#This Row],[Actual miles (week)]]</f>
        <v>85.271111011691715</v>
      </c>
      <c r="H12">
        <f t="shared" si="2"/>
        <v>1000</v>
      </c>
      <c r="I12">
        <f t="shared" si="3"/>
        <v>11000</v>
      </c>
      <c r="J12" s="2">
        <f t="shared" si="5"/>
        <v>0</v>
      </c>
      <c r="K12" s="2">
        <f>K11+Table2[[#This Row],[Actual ft (week)]]</f>
        <v>7502.8976377952749</v>
      </c>
      <c r="N12" s="5">
        <f>Sheet2!Q10</f>
        <v>0</v>
      </c>
    </row>
    <row r="13" spans="1:21">
      <c r="A13" s="1">
        <f t="shared" si="4"/>
        <v>45739</v>
      </c>
      <c r="B13">
        <v>12</v>
      </c>
      <c r="C13">
        <f>COUNTIF(Sheet2!N13:N21,"="&amp;B13)</f>
        <v>0</v>
      </c>
      <c r="D13">
        <v>10</v>
      </c>
      <c r="E13">
        <f t="shared" si="0"/>
        <v>120</v>
      </c>
      <c r="F13" s="5">
        <f t="shared" si="1"/>
        <v>0</v>
      </c>
      <c r="G13" s="5">
        <f>G12+Table2[[#This Row],[Actual miles (week)]]</f>
        <v>85.271111011691715</v>
      </c>
      <c r="H13">
        <f t="shared" si="2"/>
        <v>1000</v>
      </c>
      <c r="I13">
        <f t="shared" si="3"/>
        <v>12000</v>
      </c>
      <c r="J13" s="2">
        <f t="shared" si="5"/>
        <v>0</v>
      </c>
      <c r="K13" s="2">
        <f>K12+Table2[[#This Row],[Actual ft (week)]]</f>
        <v>7502.8976377952749</v>
      </c>
      <c r="N13" s="5">
        <f>Sheet2!Q11</f>
        <v>0</v>
      </c>
    </row>
    <row r="14" spans="1:21">
      <c r="A14" s="1">
        <f t="shared" si="4"/>
        <v>45746</v>
      </c>
      <c r="B14">
        <v>13</v>
      </c>
      <c r="C14">
        <f>COUNTIF(Sheet2!N14:N22,"="&amp;B14)</f>
        <v>0</v>
      </c>
      <c r="D14">
        <v>20</v>
      </c>
      <c r="E14">
        <f t="shared" si="0"/>
        <v>140</v>
      </c>
      <c r="F14" s="5">
        <f t="shared" si="1"/>
        <v>0</v>
      </c>
      <c r="G14" s="5">
        <f>G13+Table2[[#This Row],[Actual miles (week)]]</f>
        <v>85.271111011691715</v>
      </c>
      <c r="H14">
        <f t="shared" si="2"/>
        <v>2000</v>
      </c>
      <c r="I14">
        <f t="shared" si="3"/>
        <v>14000</v>
      </c>
      <c r="J14" s="2">
        <f t="shared" si="5"/>
        <v>0</v>
      </c>
      <c r="K14" s="2">
        <f>K13+Table2[[#This Row],[Actual ft (week)]]</f>
        <v>7502.8976377952749</v>
      </c>
      <c r="N14" s="5">
        <f>Sheet2!Q12</f>
        <v>0</v>
      </c>
    </row>
    <row r="15" spans="1:21">
      <c r="A15" s="1">
        <f t="shared" si="4"/>
        <v>45753</v>
      </c>
      <c r="B15">
        <v>14</v>
      </c>
      <c r="C15">
        <f>COUNTIF(Sheet2!N15:N23,"="&amp;B15)</f>
        <v>0</v>
      </c>
      <c r="D15">
        <v>20</v>
      </c>
      <c r="E15">
        <f t="shared" si="0"/>
        <v>160</v>
      </c>
      <c r="F15" s="5">
        <f t="shared" si="1"/>
        <v>0</v>
      </c>
      <c r="G15" s="5">
        <f>G14+Table2[[#This Row],[Actual miles (week)]]</f>
        <v>85.271111011691715</v>
      </c>
      <c r="H15">
        <f t="shared" si="2"/>
        <v>2000</v>
      </c>
      <c r="I15">
        <f t="shared" si="3"/>
        <v>16000</v>
      </c>
      <c r="J15" s="2">
        <f t="shared" si="5"/>
        <v>0</v>
      </c>
      <c r="K15" s="2">
        <f>K14+Table2[[#This Row],[Actual ft (week)]]</f>
        <v>7502.8976377952749</v>
      </c>
      <c r="N15" s="5">
        <f>Sheet2!Q13</f>
        <v>0</v>
      </c>
    </row>
    <row r="16" spans="1:21">
      <c r="A16" s="1">
        <f t="shared" si="4"/>
        <v>45760</v>
      </c>
      <c r="B16">
        <v>15</v>
      </c>
      <c r="C16">
        <f>COUNTIF(Sheet2!N16:N24,"="&amp;B16)</f>
        <v>0</v>
      </c>
      <c r="D16">
        <v>20</v>
      </c>
      <c r="E16">
        <f t="shared" si="0"/>
        <v>180</v>
      </c>
      <c r="F16" s="5">
        <f t="shared" si="1"/>
        <v>0</v>
      </c>
      <c r="G16" s="5">
        <f>G15+Table2[[#This Row],[Actual miles (week)]]</f>
        <v>85.271111011691715</v>
      </c>
      <c r="H16">
        <f t="shared" si="2"/>
        <v>2000</v>
      </c>
      <c r="I16">
        <f t="shared" si="3"/>
        <v>18000</v>
      </c>
      <c r="J16" s="2">
        <f t="shared" si="5"/>
        <v>0</v>
      </c>
      <c r="K16" s="2">
        <f>K15+Table2[[#This Row],[Actual ft (week)]]</f>
        <v>7502.8976377952749</v>
      </c>
      <c r="N16" s="5">
        <f>Sheet2!Q14</f>
        <v>0</v>
      </c>
    </row>
    <row r="17" spans="1:14">
      <c r="A17" s="1">
        <f t="shared" si="4"/>
        <v>45767</v>
      </c>
      <c r="B17">
        <v>16</v>
      </c>
      <c r="C17">
        <f>COUNTIF(Sheet2!N17:N25,"="&amp;B17)</f>
        <v>0</v>
      </c>
      <c r="D17">
        <v>20</v>
      </c>
      <c r="E17">
        <f t="shared" si="0"/>
        <v>200</v>
      </c>
      <c r="F17" s="5">
        <f t="shared" si="1"/>
        <v>0</v>
      </c>
      <c r="G17" s="5">
        <f>G16+Table2[[#This Row],[Actual miles (week)]]</f>
        <v>85.271111011691715</v>
      </c>
      <c r="H17">
        <f t="shared" si="2"/>
        <v>2000</v>
      </c>
      <c r="I17">
        <f t="shared" si="3"/>
        <v>20000</v>
      </c>
      <c r="J17" s="2">
        <f t="shared" si="5"/>
        <v>0</v>
      </c>
      <c r="K17" s="2">
        <f>K16+Table2[[#This Row],[Actual ft (week)]]</f>
        <v>7502.8976377952749</v>
      </c>
      <c r="N17" s="5">
        <f>Sheet2!Q15</f>
        <v>0</v>
      </c>
    </row>
    <row r="18" spans="1:14">
      <c r="A18" s="1">
        <f t="shared" si="4"/>
        <v>45774</v>
      </c>
      <c r="B18">
        <v>17</v>
      </c>
      <c r="C18">
        <f>COUNTIF(Sheet2!N18:N26,"="&amp;B18)</f>
        <v>0</v>
      </c>
      <c r="D18">
        <v>20</v>
      </c>
      <c r="E18">
        <f t="shared" si="0"/>
        <v>220</v>
      </c>
      <c r="F18" s="5">
        <f t="shared" si="1"/>
        <v>0</v>
      </c>
      <c r="G18" s="5">
        <f>G17+Table2[[#This Row],[Actual miles (week)]]</f>
        <v>85.271111011691715</v>
      </c>
      <c r="H18">
        <f t="shared" si="2"/>
        <v>2000</v>
      </c>
      <c r="I18">
        <f t="shared" si="3"/>
        <v>22000</v>
      </c>
      <c r="J18" s="2">
        <f t="shared" si="5"/>
        <v>0</v>
      </c>
      <c r="K18" s="2">
        <f>K17+Table2[[#This Row],[Actual ft (week)]]</f>
        <v>7502.8976377952749</v>
      </c>
      <c r="N18" s="5">
        <f>Sheet2!Q16</f>
        <v>0</v>
      </c>
    </row>
    <row r="19" spans="1:14">
      <c r="A19" s="1">
        <f t="shared" si="4"/>
        <v>45781</v>
      </c>
      <c r="B19">
        <v>18</v>
      </c>
      <c r="C19">
        <f>COUNTIF(Sheet2!N19:N27,"="&amp;B19)</f>
        <v>0</v>
      </c>
      <c r="D19">
        <v>20</v>
      </c>
      <c r="E19">
        <f t="shared" si="0"/>
        <v>240</v>
      </c>
      <c r="F19" s="5">
        <f t="shared" si="1"/>
        <v>0</v>
      </c>
      <c r="G19" s="5">
        <f>G18+Table2[[#This Row],[Actual miles (week)]]</f>
        <v>85.271111011691715</v>
      </c>
      <c r="H19">
        <f t="shared" si="2"/>
        <v>2000</v>
      </c>
      <c r="I19">
        <f t="shared" si="3"/>
        <v>24000</v>
      </c>
      <c r="J19" s="2">
        <f t="shared" si="5"/>
        <v>0</v>
      </c>
      <c r="K19" s="2">
        <f>K18+Table2[[#This Row],[Actual ft (week)]]</f>
        <v>7502.8976377952749</v>
      </c>
      <c r="N19" s="5">
        <f>Sheet2!Q17</f>
        <v>0</v>
      </c>
    </row>
    <row r="20" spans="1:14">
      <c r="A20" s="1">
        <f t="shared" si="4"/>
        <v>45788</v>
      </c>
      <c r="B20">
        <v>19</v>
      </c>
      <c r="C20">
        <f>COUNTIF(Sheet2!N20:N28,"="&amp;B20)</f>
        <v>0</v>
      </c>
      <c r="D20">
        <v>20</v>
      </c>
      <c r="E20">
        <f t="shared" si="0"/>
        <v>260</v>
      </c>
      <c r="F20" s="5">
        <f t="shared" si="1"/>
        <v>0</v>
      </c>
      <c r="G20" s="5">
        <f>G19+Table2[[#This Row],[Actual miles (week)]]</f>
        <v>85.271111011691715</v>
      </c>
      <c r="H20">
        <f t="shared" si="2"/>
        <v>2000</v>
      </c>
      <c r="I20">
        <f t="shared" si="3"/>
        <v>26000</v>
      </c>
      <c r="J20" s="2">
        <f t="shared" si="5"/>
        <v>0</v>
      </c>
      <c r="K20" s="2">
        <f>K19+Table2[[#This Row],[Actual ft (week)]]</f>
        <v>7502.8976377952749</v>
      </c>
      <c r="N20" s="5">
        <f>Sheet2!Q18</f>
        <v>0</v>
      </c>
    </row>
    <row r="21" spans="1:14">
      <c r="A21" s="1">
        <f t="shared" si="4"/>
        <v>45795</v>
      </c>
      <c r="B21">
        <v>20</v>
      </c>
      <c r="C21">
        <f>COUNTIF(Sheet2!N21:N29,"="&amp;B21)</f>
        <v>0</v>
      </c>
      <c r="D21">
        <v>20</v>
      </c>
      <c r="E21">
        <f t="shared" si="0"/>
        <v>280</v>
      </c>
      <c r="F21" s="5">
        <f t="shared" si="1"/>
        <v>0</v>
      </c>
      <c r="G21" s="5">
        <f>G20+Table2[[#This Row],[Actual miles (week)]]</f>
        <v>85.271111011691715</v>
      </c>
      <c r="H21">
        <f t="shared" si="2"/>
        <v>2000</v>
      </c>
      <c r="I21">
        <f t="shared" si="3"/>
        <v>28000</v>
      </c>
      <c r="J21" s="2">
        <f t="shared" si="5"/>
        <v>0</v>
      </c>
      <c r="K21" s="2">
        <f>K20+Table2[[#This Row],[Actual ft (week)]]</f>
        <v>7502.8976377952749</v>
      </c>
      <c r="N21" s="5">
        <f>Sheet2!Q19</f>
        <v>0</v>
      </c>
    </row>
    <row r="22" spans="1:14">
      <c r="A22" s="1">
        <f t="shared" si="4"/>
        <v>45802</v>
      </c>
      <c r="B22">
        <v>21</v>
      </c>
      <c r="C22">
        <f>COUNTIF(Sheet2!N22:N30,"="&amp;B22)</f>
        <v>0</v>
      </c>
      <c r="D22">
        <v>20</v>
      </c>
      <c r="E22">
        <f t="shared" si="0"/>
        <v>300</v>
      </c>
      <c r="F22" s="5">
        <f t="shared" si="1"/>
        <v>0</v>
      </c>
      <c r="G22" s="5">
        <f>G21+Table2[[#This Row],[Actual miles (week)]]</f>
        <v>85.271111011691715</v>
      </c>
      <c r="H22">
        <f t="shared" si="2"/>
        <v>2000</v>
      </c>
      <c r="I22">
        <f t="shared" si="3"/>
        <v>30000</v>
      </c>
      <c r="J22" s="2">
        <f t="shared" si="5"/>
        <v>0</v>
      </c>
      <c r="K22" s="2">
        <f>K21+Table2[[#This Row],[Actual ft (week)]]</f>
        <v>7502.8976377952749</v>
      </c>
      <c r="N22" s="5">
        <f>Sheet2!Q20</f>
        <v>0</v>
      </c>
    </row>
    <row r="23" spans="1:14">
      <c r="A23" s="1">
        <f t="shared" si="4"/>
        <v>45809</v>
      </c>
      <c r="B23">
        <v>22</v>
      </c>
      <c r="C23">
        <f>COUNTIF(Sheet2!N23:N31,"="&amp;B23)</f>
        <v>0</v>
      </c>
      <c r="D23">
        <v>30</v>
      </c>
      <c r="E23">
        <f t="shared" si="0"/>
        <v>330</v>
      </c>
      <c r="F23" s="5">
        <f t="shared" si="1"/>
        <v>0</v>
      </c>
      <c r="G23" s="5">
        <f>G22+Table2[[#This Row],[Actual miles (week)]]</f>
        <v>85.271111011691715</v>
      </c>
      <c r="H23">
        <f t="shared" si="2"/>
        <v>3000</v>
      </c>
      <c r="I23">
        <f t="shared" si="3"/>
        <v>33000</v>
      </c>
      <c r="J23" s="2">
        <f t="shared" si="5"/>
        <v>0</v>
      </c>
      <c r="K23" s="2">
        <f>K22+Table2[[#This Row],[Actual ft (week)]]</f>
        <v>7502.8976377952749</v>
      </c>
      <c r="N23" s="5">
        <f>Sheet2!Q21</f>
        <v>0</v>
      </c>
    </row>
    <row r="24" spans="1:14">
      <c r="A24" s="1">
        <f t="shared" si="4"/>
        <v>45816</v>
      </c>
      <c r="B24">
        <v>23</v>
      </c>
      <c r="C24">
        <f>COUNTIF(Sheet2!N24:N32,"="&amp;B24)</f>
        <v>0</v>
      </c>
      <c r="D24">
        <v>30</v>
      </c>
      <c r="E24">
        <f t="shared" si="0"/>
        <v>360</v>
      </c>
      <c r="F24" s="5">
        <f t="shared" si="1"/>
        <v>0</v>
      </c>
      <c r="G24" s="5">
        <f>G23+Table2[[#This Row],[Actual miles (week)]]</f>
        <v>85.271111011691715</v>
      </c>
      <c r="H24">
        <f t="shared" si="2"/>
        <v>3000</v>
      </c>
      <c r="I24">
        <f t="shared" si="3"/>
        <v>36000</v>
      </c>
      <c r="J24" s="2">
        <f t="shared" si="5"/>
        <v>0</v>
      </c>
      <c r="K24" s="2">
        <f>K23+Table2[[#This Row],[Actual ft (week)]]</f>
        <v>7502.8976377952749</v>
      </c>
      <c r="N24" s="5">
        <f>Sheet2!Q22</f>
        <v>0</v>
      </c>
    </row>
    <row r="25" spans="1:14">
      <c r="A25" s="1">
        <f t="shared" si="4"/>
        <v>45823</v>
      </c>
      <c r="B25">
        <v>24</v>
      </c>
      <c r="C25">
        <f>COUNTIF(Sheet2!N25:N33,"="&amp;B25)</f>
        <v>0</v>
      </c>
      <c r="D25">
        <v>30</v>
      </c>
      <c r="E25">
        <f t="shared" si="0"/>
        <v>390</v>
      </c>
      <c r="F25" s="5">
        <f t="shared" si="1"/>
        <v>0</v>
      </c>
      <c r="G25" s="5">
        <f>G24+Table2[[#This Row],[Actual miles (week)]]</f>
        <v>85.271111011691715</v>
      </c>
      <c r="H25">
        <f t="shared" si="2"/>
        <v>3000</v>
      </c>
      <c r="I25">
        <f t="shared" si="3"/>
        <v>39000</v>
      </c>
      <c r="J25" s="2">
        <f t="shared" si="5"/>
        <v>0</v>
      </c>
      <c r="K25" s="2">
        <f>K24+Table2[[#This Row],[Actual ft (week)]]</f>
        <v>7502.8976377952749</v>
      </c>
      <c r="N25" s="5">
        <f>Sheet2!Q23</f>
        <v>0</v>
      </c>
    </row>
    <row r="26" spans="1:14">
      <c r="A26" s="1">
        <f t="shared" si="4"/>
        <v>45830</v>
      </c>
      <c r="B26">
        <v>25</v>
      </c>
      <c r="C26">
        <f>COUNTIF(Sheet2!N26:N34,"="&amp;B26)</f>
        <v>0</v>
      </c>
      <c r="D26">
        <v>30</v>
      </c>
      <c r="E26">
        <f t="shared" si="0"/>
        <v>420</v>
      </c>
      <c r="F26" s="5">
        <f t="shared" si="1"/>
        <v>0</v>
      </c>
      <c r="G26" s="5">
        <f>G25+Table2[[#This Row],[Actual miles (week)]]</f>
        <v>85.271111011691715</v>
      </c>
      <c r="H26">
        <f t="shared" si="2"/>
        <v>3000</v>
      </c>
      <c r="I26">
        <f t="shared" si="3"/>
        <v>42000</v>
      </c>
      <c r="J26" s="2">
        <f t="shared" si="5"/>
        <v>0</v>
      </c>
      <c r="K26" s="2">
        <f>K25+Table2[[#This Row],[Actual ft (week)]]</f>
        <v>7502.8976377952749</v>
      </c>
      <c r="N26" s="5">
        <f>Sheet2!Q24</f>
        <v>0</v>
      </c>
    </row>
    <row r="27" spans="1:14">
      <c r="A27" s="1">
        <f t="shared" si="4"/>
        <v>45837</v>
      </c>
      <c r="B27">
        <v>26</v>
      </c>
      <c r="C27">
        <f>COUNTIF(Sheet2!N27:N35,"="&amp;B27)</f>
        <v>0</v>
      </c>
      <c r="D27">
        <v>30</v>
      </c>
      <c r="E27">
        <f t="shared" si="0"/>
        <v>450</v>
      </c>
      <c r="F27" s="5">
        <f t="shared" si="1"/>
        <v>0</v>
      </c>
      <c r="G27" s="5">
        <f>G26+Table2[[#This Row],[Actual miles (week)]]</f>
        <v>85.271111011691715</v>
      </c>
      <c r="H27">
        <f t="shared" si="2"/>
        <v>3000</v>
      </c>
      <c r="I27">
        <f t="shared" si="3"/>
        <v>45000</v>
      </c>
      <c r="J27" s="2">
        <f t="shared" si="5"/>
        <v>0</v>
      </c>
      <c r="K27" s="2">
        <f>K26+Table2[[#This Row],[Actual ft (week)]]</f>
        <v>7502.8976377952749</v>
      </c>
      <c r="N27" s="5">
        <f>Sheet2!Q25</f>
        <v>0</v>
      </c>
    </row>
    <row r="28" spans="1:14">
      <c r="A28" s="1">
        <f t="shared" si="4"/>
        <v>45844</v>
      </c>
      <c r="B28">
        <v>27</v>
      </c>
      <c r="C28">
        <f>COUNTIF(Sheet2!N28:N36,"="&amp;B28)</f>
        <v>0</v>
      </c>
      <c r="D28">
        <v>30</v>
      </c>
      <c r="E28">
        <f t="shared" si="0"/>
        <v>480</v>
      </c>
      <c r="F28" s="5">
        <f t="shared" si="1"/>
        <v>0</v>
      </c>
      <c r="G28" s="5">
        <f>G27+Table2[[#This Row],[Actual miles (week)]]</f>
        <v>85.271111011691715</v>
      </c>
      <c r="H28">
        <f t="shared" si="2"/>
        <v>3000</v>
      </c>
      <c r="I28">
        <f t="shared" si="3"/>
        <v>48000</v>
      </c>
      <c r="J28" s="2">
        <f t="shared" si="5"/>
        <v>0</v>
      </c>
      <c r="K28" s="2">
        <f>K27+Table2[[#This Row],[Actual ft (week)]]</f>
        <v>7502.8976377952749</v>
      </c>
      <c r="N28" s="5">
        <f>Sheet2!Q26</f>
        <v>0</v>
      </c>
    </row>
    <row r="29" spans="1:14">
      <c r="A29" s="1">
        <f t="shared" si="4"/>
        <v>45851</v>
      </c>
      <c r="B29">
        <v>28</v>
      </c>
      <c r="C29">
        <f>COUNTIF(Sheet2!N29:N37,"="&amp;B29)</f>
        <v>0</v>
      </c>
      <c r="D29">
        <v>30</v>
      </c>
      <c r="E29">
        <f t="shared" si="0"/>
        <v>510</v>
      </c>
      <c r="F29" s="5">
        <f t="shared" si="1"/>
        <v>0</v>
      </c>
      <c r="G29" s="5">
        <f>G28+Table2[[#This Row],[Actual miles (week)]]</f>
        <v>85.271111011691715</v>
      </c>
      <c r="H29">
        <f t="shared" si="2"/>
        <v>3000</v>
      </c>
      <c r="I29">
        <f t="shared" si="3"/>
        <v>51000</v>
      </c>
      <c r="J29" s="2">
        <f t="shared" si="5"/>
        <v>0</v>
      </c>
      <c r="K29" s="2">
        <f>K28+Table2[[#This Row],[Actual ft (week)]]</f>
        <v>7502.8976377952749</v>
      </c>
      <c r="N29" s="5">
        <f>Sheet2!Q27</f>
        <v>0</v>
      </c>
    </row>
    <row r="30" spans="1:14">
      <c r="A30" s="1">
        <f t="shared" si="4"/>
        <v>45858</v>
      </c>
      <c r="B30">
        <v>29</v>
      </c>
      <c r="C30">
        <f>COUNTIF(Sheet2!N30:N38,"="&amp;B30)</f>
        <v>0</v>
      </c>
      <c r="D30">
        <v>30</v>
      </c>
      <c r="E30">
        <f t="shared" si="0"/>
        <v>540</v>
      </c>
      <c r="F30" s="5">
        <f t="shared" si="1"/>
        <v>0</v>
      </c>
      <c r="G30" s="5">
        <f>G29+Table2[[#This Row],[Actual miles (week)]]</f>
        <v>85.271111011691715</v>
      </c>
      <c r="H30">
        <f t="shared" si="2"/>
        <v>3000</v>
      </c>
      <c r="I30">
        <f t="shared" si="3"/>
        <v>54000</v>
      </c>
      <c r="J30" s="2">
        <f t="shared" si="5"/>
        <v>0</v>
      </c>
      <c r="K30" s="2">
        <f>K29+Table2[[#This Row],[Actual ft (week)]]</f>
        <v>7502.8976377952749</v>
      </c>
      <c r="N30" s="5">
        <f>Sheet2!Q28</f>
        <v>0</v>
      </c>
    </row>
    <row r="31" spans="1:14">
      <c r="A31" s="1">
        <f t="shared" si="4"/>
        <v>45865</v>
      </c>
      <c r="B31">
        <v>30</v>
      </c>
      <c r="C31">
        <f>COUNTIF(Sheet2!N31:N39,"="&amp;B31)</f>
        <v>0</v>
      </c>
      <c r="D31">
        <v>30</v>
      </c>
      <c r="E31">
        <f t="shared" si="0"/>
        <v>570</v>
      </c>
      <c r="F31" s="5">
        <f t="shared" si="1"/>
        <v>0</v>
      </c>
      <c r="G31" s="5">
        <f>G30+Table2[[#This Row],[Actual miles (week)]]</f>
        <v>85.271111011691715</v>
      </c>
      <c r="H31">
        <f t="shared" si="2"/>
        <v>3000</v>
      </c>
      <c r="I31">
        <f t="shared" si="3"/>
        <v>57000</v>
      </c>
      <c r="J31" s="2">
        <f t="shared" si="5"/>
        <v>0</v>
      </c>
      <c r="K31" s="2">
        <f>K30+Table2[[#This Row],[Actual ft (week)]]</f>
        <v>7502.8976377952749</v>
      </c>
      <c r="N31" s="5">
        <f>Sheet2!Q29</f>
        <v>0</v>
      </c>
    </row>
    <row r="32" spans="1:14">
      <c r="A32" s="1">
        <f t="shared" si="4"/>
        <v>45872</v>
      </c>
      <c r="B32">
        <v>31</v>
      </c>
      <c r="C32">
        <f>COUNTIF(Sheet2!N32:N40,"="&amp;B32)</f>
        <v>0</v>
      </c>
      <c r="D32">
        <v>30</v>
      </c>
      <c r="E32">
        <f t="shared" si="0"/>
        <v>600</v>
      </c>
      <c r="F32" s="5">
        <f t="shared" si="1"/>
        <v>0</v>
      </c>
      <c r="G32" s="5">
        <f>G31+Table2[[#This Row],[Actual miles (week)]]</f>
        <v>85.271111011691715</v>
      </c>
      <c r="H32">
        <f t="shared" si="2"/>
        <v>3000</v>
      </c>
      <c r="I32">
        <f t="shared" si="3"/>
        <v>60000</v>
      </c>
      <c r="J32" s="2">
        <f t="shared" si="5"/>
        <v>0</v>
      </c>
      <c r="K32" s="2">
        <f>K31+Table2[[#This Row],[Actual ft (week)]]</f>
        <v>7502.8976377952749</v>
      </c>
      <c r="N32" s="5">
        <f>Sheet2!Q30</f>
        <v>0</v>
      </c>
    </row>
    <row r="33" spans="1:14">
      <c r="A33" s="1">
        <f t="shared" si="4"/>
        <v>45879</v>
      </c>
      <c r="B33">
        <v>32</v>
      </c>
      <c r="C33">
        <f>COUNTIF(Sheet2!N33:N41,"="&amp;B33)</f>
        <v>0</v>
      </c>
      <c r="D33">
        <v>30</v>
      </c>
      <c r="E33">
        <f t="shared" si="0"/>
        <v>630</v>
      </c>
      <c r="F33" s="5">
        <f t="shared" si="1"/>
        <v>0</v>
      </c>
      <c r="G33" s="5">
        <f>G32+Table2[[#This Row],[Actual miles (week)]]</f>
        <v>85.271111011691715</v>
      </c>
      <c r="H33">
        <f t="shared" si="2"/>
        <v>3000</v>
      </c>
      <c r="I33">
        <f t="shared" si="3"/>
        <v>63000</v>
      </c>
      <c r="J33" s="2">
        <f t="shared" si="5"/>
        <v>0</v>
      </c>
      <c r="K33" s="2">
        <f>K32+Table2[[#This Row],[Actual ft (week)]]</f>
        <v>7502.8976377952749</v>
      </c>
      <c r="N33" s="5">
        <f>Sheet2!Q31</f>
        <v>0</v>
      </c>
    </row>
    <row r="34" spans="1:14">
      <c r="A34" s="1">
        <f t="shared" si="4"/>
        <v>45886</v>
      </c>
      <c r="B34">
        <v>33</v>
      </c>
      <c r="C34">
        <f>COUNTIF(Sheet2!N34:N42,"="&amp;B34)</f>
        <v>0</v>
      </c>
      <c r="D34">
        <v>30</v>
      </c>
      <c r="E34">
        <f t="shared" si="0"/>
        <v>660</v>
      </c>
      <c r="F34" s="5">
        <f t="shared" si="1"/>
        <v>0</v>
      </c>
      <c r="G34" s="5">
        <f>G33+Table2[[#This Row],[Actual miles (week)]]</f>
        <v>85.271111011691715</v>
      </c>
      <c r="H34">
        <f t="shared" si="2"/>
        <v>3000</v>
      </c>
      <c r="I34">
        <f t="shared" si="3"/>
        <v>66000</v>
      </c>
      <c r="J34" s="2">
        <f t="shared" si="5"/>
        <v>0</v>
      </c>
      <c r="K34" s="2">
        <f>K33+Table2[[#This Row],[Actual ft (week)]]</f>
        <v>7502.8976377952749</v>
      </c>
      <c r="N34" s="5">
        <f>Sheet2!Q32</f>
        <v>0</v>
      </c>
    </row>
    <row r="35" spans="1:14">
      <c r="A35" s="1">
        <f t="shared" si="4"/>
        <v>45893</v>
      </c>
      <c r="B35">
        <v>34</v>
      </c>
      <c r="C35">
        <f>COUNTIF(Sheet2!N35:N43,"="&amp;B35)</f>
        <v>0</v>
      </c>
      <c r="D35">
        <v>30</v>
      </c>
      <c r="E35">
        <f t="shared" ref="E35:E54" si="6">E34+D35</f>
        <v>690</v>
      </c>
      <c r="F35" s="5">
        <f t="shared" si="1"/>
        <v>0</v>
      </c>
      <c r="G35" s="5">
        <f>G34+Table2[[#This Row],[Actual miles (week)]]</f>
        <v>85.271111011691715</v>
      </c>
      <c r="H35">
        <f t="shared" si="2"/>
        <v>3000</v>
      </c>
      <c r="I35">
        <f t="shared" ref="I35:I54" si="7">I34+H35</f>
        <v>69000</v>
      </c>
      <c r="J35" s="2">
        <f t="shared" si="5"/>
        <v>0</v>
      </c>
      <c r="K35" s="2">
        <f>K34+Table2[[#This Row],[Actual ft (week)]]</f>
        <v>7502.8976377952749</v>
      </c>
      <c r="N35" s="5">
        <f>Sheet2!Q33</f>
        <v>0</v>
      </c>
    </row>
    <row r="36" spans="1:14">
      <c r="A36" s="1">
        <f t="shared" si="4"/>
        <v>45900</v>
      </c>
      <c r="B36">
        <v>35</v>
      </c>
      <c r="C36">
        <f>COUNTIF(Sheet2!N36:N44,"="&amp;B36)</f>
        <v>0</v>
      </c>
      <c r="D36">
        <v>30</v>
      </c>
      <c r="E36">
        <f t="shared" si="6"/>
        <v>720</v>
      </c>
      <c r="F36" s="5">
        <f t="shared" si="1"/>
        <v>0</v>
      </c>
      <c r="G36" s="5">
        <f>G35+Table2[[#This Row],[Actual miles (week)]]</f>
        <v>85.271111011691715</v>
      </c>
      <c r="H36">
        <f t="shared" si="2"/>
        <v>3000</v>
      </c>
      <c r="I36">
        <f t="shared" si="7"/>
        <v>72000</v>
      </c>
      <c r="J36" s="2">
        <f t="shared" si="5"/>
        <v>0</v>
      </c>
      <c r="K36" s="2">
        <f>K35+Table2[[#This Row],[Actual ft (week)]]</f>
        <v>7502.8976377952749</v>
      </c>
      <c r="N36" s="5">
        <f>Sheet2!Q34</f>
        <v>0</v>
      </c>
    </row>
    <row r="37" spans="1:14">
      <c r="A37" s="1">
        <f t="shared" si="4"/>
        <v>45907</v>
      </c>
      <c r="B37">
        <v>36</v>
      </c>
      <c r="C37">
        <f>COUNTIF(Sheet2!N37:N45,"="&amp;B37)</f>
        <v>0</v>
      </c>
      <c r="D37">
        <v>20</v>
      </c>
      <c r="E37">
        <f t="shared" si="6"/>
        <v>740</v>
      </c>
      <c r="F37" s="5">
        <f t="shared" si="1"/>
        <v>0</v>
      </c>
      <c r="G37" s="5">
        <f>G36+Table2[[#This Row],[Actual miles (week)]]</f>
        <v>85.271111011691715</v>
      </c>
      <c r="H37">
        <f t="shared" si="2"/>
        <v>2000</v>
      </c>
      <c r="I37">
        <f t="shared" si="7"/>
        <v>74000</v>
      </c>
      <c r="J37" s="2">
        <f t="shared" si="5"/>
        <v>0</v>
      </c>
      <c r="K37" s="2">
        <f>K36+Table2[[#This Row],[Actual ft (week)]]</f>
        <v>7502.8976377952749</v>
      </c>
      <c r="N37" s="5">
        <f>Sheet2!Q35</f>
        <v>0</v>
      </c>
    </row>
    <row r="38" spans="1:14">
      <c r="A38" s="1">
        <f t="shared" si="4"/>
        <v>45914</v>
      </c>
      <c r="B38">
        <v>37</v>
      </c>
      <c r="C38">
        <f>COUNTIF(Sheet2!N38:N46,"="&amp;B38)</f>
        <v>0</v>
      </c>
      <c r="D38">
        <v>20</v>
      </c>
      <c r="E38">
        <f t="shared" si="6"/>
        <v>760</v>
      </c>
      <c r="F38" s="5">
        <f t="shared" si="1"/>
        <v>0</v>
      </c>
      <c r="G38" s="5">
        <f>G37+Table2[[#This Row],[Actual miles (week)]]</f>
        <v>85.271111011691715</v>
      </c>
      <c r="H38">
        <f t="shared" si="2"/>
        <v>2000</v>
      </c>
      <c r="I38">
        <f t="shared" si="7"/>
        <v>76000</v>
      </c>
      <c r="J38" s="2">
        <f t="shared" si="5"/>
        <v>0</v>
      </c>
      <c r="K38" s="2">
        <f>K37+Table2[[#This Row],[Actual ft (week)]]</f>
        <v>7502.8976377952749</v>
      </c>
      <c r="N38" s="5">
        <f>Sheet2!Q36</f>
        <v>0</v>
      </c>
    </row>
    <row r="39" spans="1:14">
      <c r="A39" s="1">
        <f t="shared" si="4"/>
        <v>45921</v>
      </c>
      <c r="B39">
        <v>38</v>
      </c>
      <c r="C39">
        <f>COUNTIF(Sheet2!N39:N47,"="&amp;B39)</f>
        <v>0</v>
      </c>
      <c r="D39">
        <v>20</v>
      </c>
      <c r="E39">
        <f t="shared" si="6"/>
        <v>780</v>
      </c>
      <c r="F39" s="5">
        <f t="shared" si="1"/>
        <v>0</v>
      </c>
      <c r="G39" s="5">
        <f>G38+Table2[[#This Row],[Actual miles (week)]]</f>
        <v>85.271111011691715</v>
      </c>
      <c r="H39">
        <f t="shared" si="2"/>
        <v>2000</v>
      </c>
      <c r="I39">
        <f t="shared" si="7"/>
        <v>78000</v>
      </c>
      <c r="J39" s="2">
        <f t="shared" si="5"/>
        <v>0</v>
      </c>
      <c r="K39" s="2">
        <f>K38+Table2[[#This Row],[Actual ft (week)]]</f>
        <v>7502.8976377952749</v>
      </c>
      <c r="N39" s="5">
        <f>Sheet2!Q37</f>
        <v>0</v>
      </c>
    </row>
    <row r="40" spans="1:14">
      <c r="A40" s="1">
        <f t="shared" si="4"/>
        <v>45928</v>
      </c>
      <c r="B40">
        <v>39</v>
      </c>
      <c r="C40">
        <f>COUNTIF(Sheet2!N40:N48,"="&amp;B40)</f>
        <v>0</v>
      </c>
      <c r="D40">
        <v>20</v>
      </c>
      <c r="E40">
        <f t="shared" si="6"/>
        <v>800</v>
      </c>
      <c r="F40" s="5">
        <f t="shared" si="1"/>
        <v>0</v>
      </c>
      <c r="G40" s="5">
        <f>G39+Table2[[#This Row],[Actual miles (week)]]</f>
        <v>85.271111011691715</v>
      </c>
      <c r="H40">
        <f t="shared" si="2"/>
        <v>2000</v>
      </c>
      <c r="I40">
        <f t="shared" si="7"/>
        <v>80000</v>
      </c>
      <c r="J40" s="2">
        <f t="shared" si="5"/>
        <v>0</v>
      </c>
      <c r="K40" s="2">
        <f>K39+Table2[[#This Row],[Actual ft (week)]]</f>
        <v>7502.8976377952749</v>
      </c>
      <c r="N40" s="5">
        <f>Sheet2!Q38</f>
        <v>0</v>
      </c>
    </row>
    <row r="41" spans="1:14">
      <c r="A41" s="1">
        <f t="shared" si="4"/>
        <v>45935</v>
      </c>
      <c r="B41">
        <v>40</v>
      </c>
      <c r="C41">
        <f>COUNTIF(Sheet2!N41:N49,"="&amp;B41)</f>
        <v>0</v>
      </c>
      <c r="D41">
        <v>20</v>
      </c>
      <c r="E41">
        <f t="shared" si="6"/>
        <v>820</v>
      </c>
      <c r="F41" s="5">
        <f t="shared" si="1"/>
        <v>0</v>
      </c>
      <c r="G41" s="5">
        <f>G40+Table2[[#This Row],[Actual miles (week)]]</f>
        <v>85.271111011691715</v>
      </c>
      <c r="H41">
        <f t="shared" si="2"/>
        <v>2000</v>
      </c>
      <c r="I41">
        <f t="shared" si="7"/>
        <v>82000</v>
      </c>
      <c r="J41" s="2">
        <f t="shared" si="5"/>
        <v>0</v>
      </c>
      <c r="K41" s="2">
        <f>K40+Table2[[#This Row],[Actual ft (week)]]</f>
        <v>7502.8976377952749</v>
      </c>
      <c r="N41" s="5">
        <f>Sheet2!Q39</f>
        <v>0</v>
      </c>
    </row>
    <row r="42" spans="1:14">
      <c r="A42" s="1">
        <f t="shared" si="4"/>
        <v>45942</v>
      </c>
      <c r="B42">
        <v>41</v>
      </c>
      <c r="C42">
        <f>COUNTIF(Sheet2!N42:N50,"="&amp;B42)</f>
        <v>0</v>
      </c>
      <c r="D42">
        <v>20</v>
      </c>
      <c r="E42">
        <f t="shared" si="6"/>
        <v>840</v>
      </c>
      <c r="F42" s="5">
        <f t="shared" si="1"/>
        <v>0</v>
      </c>
      <c r="G42" s="5">
        <f>G41+Table2[[#This Row],[Actual miles (week)]]</f>
        <v>85.271111011691715</v>
      </c>
      <c r="H42">
        <f t="shared" si="2"/>
        <v>2000</v>
      </c>
      <c r="I42">
        <f t="shared" si="7"/>
        <v>84000</v>
      </c>
      <c r="J42" s="2">
        <f t="shared" si="5"/>
        <v>0</v>
      </c>
      <c r="K42" s="2">
        <f>K41+Table2[[#This Row],[Actual ft (week)]]</f>
        <v>7502.8976377952749</v>
      </c>
      <c r="N42" s="5">
        <f>Sheet2!Q40</f>
        <v>0</v>
      </c>
    </row>
    <row r="43" spans="1:14">
      <c r="A43" s="1">
        <f t="shared" si="4"/>
        <v>45949</v>
      </c>
      <c r="B43">
        <v>42</v>
      </c>
      <c r="C43">
        <f>COUNTIF(Sheet2!N43:N51,"="&amp;B43)</f>
        <v>0</v>
      </c>
      <c r="D43">
        <v>20</v>
      </c>
      <c r="E43">
        <f t="shared" si="6"/>
        <v>860</v>
      </c>
      <c r="F43" s="5">
        <f t="shared" si="1"/>
        <v>0</v>
      </c>
      <c r="G43" s="5">
        <f>G42+Table2[[#This Row],[Actual miles (week)]]</f>
        <v>85.271111011691715</v>
      </c>
      <c r="H43">
        <f t="shared" si="2"/>
        <v>2000</v>
      </c>
      <c r="I43">
        <f t="shared" si="7"/>
        <v>86000</v>
      </c>
      <c r="J43" s="2">
        <f t="shared" si="5"/>
        <v>0</v>
      </c>
      <c r="K43" s="2">
        <f>K42+Table2[[#This Row],[Actual ft (week)]]</f>
        <v>7502.8976377952749</v>
      </c>
      <c r="N43" s="5">
        <f>Sheet2!Q41</f>
        <v>0</v>
      </c>
    </row>
    <row r="44" spans="1:14">
      <c r="A44" s="1">
        <f t="shared" si="4"/>
        <v>45956</v>
      </c>
      <c r="B44">
        <v>43</v>
      </c>
      <c r="C44">
        <f>COUNTIF(Sheet2!N44:N52,"="&amp;B44)</f>
        <v>0</v>
      </c>
      <c r="D44">
        <v>20</v>
      </c>
      <c r="E44">
        <f t="shared" si="6"/>
        <v>880</v>
      </c>
      <c r="F44" s="5">
        <f t="shared" si="1"/>
        <v>0</v>
      </c>
      <c r="G44" s="5">
        <f>G43+Table2[[#This Row],[Actual miles (week)]]</f>
        <v>85.271111011691715</v>
      </c>
      <c r="H44">
        <f t="shared" si="2"/>
        <v>2000</v>
      </c>
      <c r="I44">
        <f t="shared" si="7"/>
        <v>88000</v>
      </c>
      <c r="J44" s="2">
        <f t="shared" si="5"/>
        <v>0</v>
      </c>
      <c r="K44" s="2">
        <f>K43+Table2[[#This Row],[Actual ft (week)]]</f>
        <v>7502.8976377952749</v>
      </c>
      <c r="N44" s="5">
        <f>Sheet2!Q42</f>
        <v>0</v>
      </c>
    </row>
    <row r="45" spans="1:14">
      <c r="A45" s="1">
        <f t="shared" si="4"/>
        <v>45963</v>
      </c>
      <c r="B45">
        <v>44</v>
      </c>
      <c r="C45">
        <f>COUNTIF(Sheet2!N45:N53,"="&amp;B45)</f>
        <v>0</v>
      </c>
      <c r="D45">
        <v>20</v>
      </c>
      <c r="E45">
        <f t="shared" si="6"/>
        <v>900</v>
      </c>
      <c r="F45" s="5">
        <f t="shared" si="1"/>
        <v>0</v>
      </c>
      <c r="G45" s="5">
        <f>G44+Table2[[#This Row],[Actual miles (week)]]</f>
        <v>85.271111011691715</v>
      </c>
      <c r="H45">
        <f t="shared" si="2"/>
        <v>2000</v>
      </c>
      <c r="I45">
        <f t="shared" si="7"/>
        <v>90000</v>
      </c>
      <c r="J45" s="2">
        <f t="shared" si="5"/>
        <v>0</v>
      </c>
      <c r="K45" s="2">
        <f>K44+Table2[[#This Row],[Actual ft (week)]]</f>
        <v>7502.8976377952749</v>
      </c>
      <c r="N45" s="5">
        <f>Sheet2!Q43</f>
        <v>0</v>
      </c>
    </row>
    <row r="46" spans="1:14">
      <c r="A46" s="1">
        <f t="shared" si="4"/>
        <v>45970</v>
      </c>
      <c r="B46">
        <v>45</v>
      </c>
      <c r="C46">
        <f>COUNTIF(Sheet2!N46:N54,"="&amp;B46)</f>
        <v>0</v>
      </c>
      <c r="D46">
        <v>20</v>
      </c>
      <c r="E46">
        <f t="shared" si="6"/>
        <v>920</v>
      </c>
      <c r="F46" s="5">
        <f t="shared" si="1"/>
        <v>0</v>
      </c>
      <c r="G46" s="5">
        <f>G45+Table2[[#This Row],[Actual miles (week)]]</f>
        <v>85.271111011691715</v>
      </c>
      <c r="H46">
        <f t="shared" si="2"/>
        <v>2000</v>
      </c>
      <c r="I46">
        <f t="shared" si="7"/>
        <v>92000</v>
      </c>
      <c r="J46" s="2">
        <f t="shared" si="5"/>
        <v>0</v>
      </c>
      <c r="K46" s="2">
        <f>K45+Table2[[#This Row],[Actual ft (week)]]</f>
        <v>7502.8976377952749</v>
      </c>
      <c r="N46" s="5">
        <f>Sheet2!Q44</f>
        <v>0</v>
      </c>
    </row>
    <row r="47" spans="1:14">
      <c r="A47" s="1">
        <f t="shared" si="4"/>
        <v>45977</v>
      </c>
      <c r="B47">
        <v>46</v>
      </c>
      <c r="C47">
        <f>COUNTIF(Sheet2!N47:N55,"="&amp;B47)</f>
        <v>0</v>
      </c>
      <c r="D47">
        <v>20</v>
      </c>
      <c r="E47">
        <f t="shared" si="6"/>
        <v>940</v>
      </c>
      <c r="F47" s="5">
        <f t="shared" si="1"/>
        <v>0</v>
      </c>
      <c r="G47" s="5">
        <f>G46+Table2[[#This Row],[Actual miles (week)]]</f>
        <v>85.271111011691715</v>
      </c>
      <c r="H47">
        <f t="shared" si="2"/>
        <v>2000</v>
      </c>
      <c r="I47">
        <f t="shared" si="7"/>
        <v>94000</v>
      </c>
      <c r="J47" s="2">
        <f t="shared" si="5"/>
        <v>0</v>
      </c>
      <c r="K47" s="2">
        <f>K46+Table2[[#This Row],[Actual ft (week)]]</f>
        <v>7502.8976377952749</v>
      </c>
      <c r="N47" s="5">
        <f>Sheet2!Q45</f>
        <v>0</v>
      </c>
    </row>
    <row r="48" spans="1:14">
      <c r="A48" s="1">
        <f t="shared" si="4"/>
        <v>45984</v>
      </c>
      <c r="B48">
        <v>47</v>
      </c>
      <c r="C48">
        <f>COUNTIF(Sheet2!N48:N56,"="&amp;B48)</f>
        <v>0</v>
      </c>
      <c r="D48">
        <v>20</v>
      </c>
      <c r="E48">
        <f t="shared" si="6"/>
        <v>960</v>
      </c>
      <c r="F48" s="5">
        <f t="shared" si="1"/>
        <v>0</v>
      </c>
      <c r="G48" s="5">
        <f>G47+Table2[[#This Row],[Actual miles (week)]]</f>
        <v>85.271111011691715</v>
      </c>
      <c r="H48">
        <f t="shared" si="2"/>
        <v>2000</v>
      </c>
      <c r="I48">
        <f t="shared" si="7"/>
        <v>96000</v>
      </c>
      <c r="J48" s="2">
        <f t="shared" si="5"/>
        <v>0</v>
      </c>
      <c r="K48" s="2">
        <f>K47+Table2[[#This Row],[Actual ft (week)]]</f>
        <v>7502.8976377952749</v>
      </c>
      <c r="N48" s="5">
        <f>Sheet2!Q46</f>
        <v>0</v>
      </c>
    </row>
    <row r="49" spans="1:15">
      <c r="A49" s="1">
        <f t="shared" si="4"/>
        <v>45991</v>
      </c>
      <c r="B49">
        <v>48</v>
      </c>
      <c r="C49">
        <f>COUNTIF(Sheet2!N49:N57,"="&amp;B49)</f>
        <v>0</v>
      </c>
      <c r="D49">
        <v>20</v>
      </c>
      <c r="E49">
        <f t="shared" si="6"/>
        <v>980</v>
      </c>
      <c r="F49" s="5">
        <f t="shared" si="1"/>
        <v>0</v>
      </c>
      <c r="G49" s="5">
        <f>G48+Table2[[#This Row],[Actual miles (week)]]</f>
        <v>85.271111011691715</v>
      </c>
      <c r="H49">
        <f t="shared" si="2"/>
        <v>2000</v>
      </c>
      <c r="I49">
        <f t="shared" si="7"/>
        <v>98000</v>
      </c>
      <c r="J49" s="2">
        <f t="shared" si="5"/>
        <v>0</v>
      </c>
      <c r="K49" s="2">
        <f>K48+Table2[[#This Row],[Actual ft (week)]]</f>
        <v>7502.8976377952749</v>
      </c>
      <c r="N49" s="5">
        <f>Sheet2!Q47</f>
        <v>0</v>
      </c>
    </row>
    <row r="50" spans="1:15">
      <c r="A50" s="1">
        <f t="shared" si="4"/>
        <v>45998</v>
      </c>
      <c r="B50">
        <v>49</v>
      </c>
      <c r="C50">
        <f>COUNTIF(Sheet2!N50:N58,"="&amp;B50)</f>
        <v>0</v>
      </c>
      <c r="D50">
        <v>10</v>
      </c>
      <c r="E50">
        <f t="shared" si="6"/>
        <v>990</v>
      </c>
      <c r="F50" s="5">
        <f t="shared" si="1"/>
        <v>0</v>
      </c>
      <c r="G50" s="5">
        <f>G49+Table2[[#This Row],[Actual miles (week)]]</f>
        <v>85.271111011691715</v>
      </c>
      <c r="H50">
        <f t="shared" si="2"/>
        <v>1000</v>
      </c>
      <c r="I50">
        <f t="shared" si="7"/>
        <v>99000</v>
      </c>
      <c r="J50" s="2">
        <f t="shared" si="5"/>
        <v>0</v>
      </c>
      <c r="K50" s="2">
        <f>K49+Table2[[#This Row],[Actual ft (week)]]</f>
        <v>7502.8976377952749</v>
      </c>
      <c r="N50" s="5">
        <f>Sheet2!Q48</f>
        <v>0</v>
      </c>
    </row>
    <row r="51" spans="1:15">
      <c r="A51" s="1">
        <f t="shared" si="4"/>
        <v>46005</v>
      </c>
      <c r="B51">
        <v>50</v>
      </c>
      <c r="C51">
        <f>COUNTIF(Sheet2!N51:N59,"="&amp;B51)</f>
        <v>0</v>
      </c>
      <c r="D51">
        <v>10</v>
      </c>
      <c r="E51">
        <f t="shared" si="6"/>
        <v>1000</v>
      </c>
      <c r="F51" s="5">
        <f t="shared" si="1"/>
        <v>0</v>
      </c>
      <c r="G51" s="5">
        <f>G50+Table2[[#This Row],[Actual miles (week)]]</f>
        <v>85.271111011691715</v>
      </c>
      <c r="H51">
        <f t="shared" si="2"/>
        <v>1000</v>
      </c>
      <c r="I51">
        <f t="shared" si="7"/>
        <v>100000</v>
      </c>
      <c r="J51" s="2">
        <f t="shared" si="5"/>
        <v>0</v>
      </c>
      <c r="K51" s="2">
        <f>K50+Table2[[#This Row],[Actual ft (week)]]</f>
        <v>7502.8976377952749</v>
      </c>
      <c r="N51" s="5">
        <f>Sheet2!Q49</f>
        <v>0</v>
      </c>
    </row>
    <row r="52" spans="1:15">
      <c r="A52" s="1">
        <f t="shared" si="4"/>
        <v>46012</v>
      </c>
      <c r="B52">
        <v>51</v>
      </c>
      <c r="C52">
        <f>COUNTIF(Sheet2!N52:N60,"="&amp;B52)</f>
        <v>0</v>
      </c>
      <c r="D52">
        <v>10</v>
      </c>
      <c r="E52">
        <f t="shared" si="6"/>
        <v>1010</v>
      </c>
      <c r="F52" s="5">
        <f t="shared" si="1"/>
        <v>0</v>
      </c>
      <c r="G52" s="5">
        <f>G51+Table2[[#This Row],[Actual miles (week)]]</f>
        <v>85.271111011691715</v>
      </c>
      <c r="H52">
        <f t="shared" si="2"/>
        <v>1000</v>
      </c>
      <c r="I52">
        <f t="shared" si="7"/>
        <v>101000</v>
      </c>
      <c r="J52" s="2">
        <f t="shared" si="5"/>
        <v>0</v>
      </c>
      <c r="K52" s="2">
        <f>K51+Table2[[#This Row],[Actual ft (week)]]</f>
        <v>7502.8976377952749</v>
      </c>
      <c r="N52" s="5">
        <f>Sheet2!Q50</f>
        <v>0</v>
      </c>
    </row>
    <row r="53" spans="1:15">
      <c r="A53" s="1">
        <f t="shared" si="4"/>
        <v>46019</v>
      </c>
      <c r="B53">
        <v>52</v>
      </c>
      <c r="C53">
        <f>COUNTIF(Sheet2!N53:N61,"="&amp;B53)</f>
        <v>0</v>
      </c>
      <c r="D53">
        <v>10</v>
      </c>
      <c r="E53">
        <f t="shared" si="6"/>
        <v>1020</v>
      </c>
      <c r="F53" s="5">
        <f t="shared" si="1"/>
        <v>0</v>
      </c>
      <c r="G53" s="5">
        <f>G52+Table2[[#This Row],[Actual miles (week)]]</f>
        <v>85.271111011691715</v>
      </c>
      <c r="H53">
        <f t="shared" si="2"/>
        <v>1000</v>
      </c>
      <c r="I53">
        <f t="shared" si="7"/>
        <v>102000</v>
      </c>
      <c r="J53" s="2">
        <f t="shared" si="5"/>
        <v>0</v>
      </c>
      <c r="K53" s="2">
        <f>K52+Table2[[#This Row],[Actual ft (week)]]</f>
        <v>7502.8976377952749</v>
      </c>
      <c r="N53" s="5">
        <f>Sheet2!Q51</f>
        <v>0</v>
      </c>
    </row>
    <row r="54" spans="1:15">
      <c r="A54" s="1">
        <f>7+A53</f>
        <v>46026</v>
      </c>
      <c r="B54">
        <v>53</v>
      </c>
      <c r="C54">
        <f>COUNTIF(Sheet2!N54:N62,"="&amp;B54)</f>
        <v>0</v>
      </c>
      <c r="D54">
        <v>10</v>
      </c>
      <c r="E54">
        <f t="shared" si="6"/>
        <v>1030</v>
      </c>
      <c r="F54" s="5">
        <f t="shared" si="1"/>
        <v>0</v>
      </c>
      <c r="G54" s="5">
        <f>G53+Table2[[#This Row],[Actual miles (week)]]</f>
        <v>85.271111011691715</v>
      </c>
      <c r="H54">
        <f t="shared" si="2"/>
        <v>1000</v>
      </c>
      <c r="I54">
        <f t="shared" si="7"/>
        <v>103000</v>
      </c>
      <c r="J54" s="2">
        <f t="shared" si="5"/>
        <v>0</v>
      </c>
      <c r="K54" s="2">
        <f>K53+Table2[[#This Row],[Actual ft (week)]]</f>
        <v>7502.8976377952749</v>
      </c>
      <c r="N54" s="5">
        <f>Sheet2!Q52</f>
        <v>0</v>
      </c>
    </row>
    <row r="55" spans="1:15">
      <c r="D55">
        <f>SUM(D2:D54)</f>
        <v>1030</v>
      </c>
      <c r="H55">
        <f>SUM(H2:H54)</f>
        <v>103000</v>
      </c>
      <c r="L55">
        <f t="shared" ref="L55:O55" si="8">SUM(L2:L54)</f>
        <v>0</v>
      </c>
      <c r="M55">
        <f t="shared" si="8"/>
        <v>0</v>
      </c>
      <c r="N55">
        <f t="shared" si="8"/>
        <v>85.271111011691715</v>
      </c>
      <c r="O55">
        <f t="shared" si="8"/>
        <v>7502.8976377952749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6192-437D-4BCA-AAA6-A1C9DF4AFE1A}">
  <dimension ref="A1:R101"/>
  <sheetViews>
    <sheetView workbookViewId="0">
      <pane ySplit="1" topLeftCell="A2" activePane="bottomLeft" state="frozen"/>
      <selection pane="bottomLeft" activeCell="G2" sqref="G2:G7"/>
    </sheetView>
  </sheetViews>
  <sheetFormatPr defaultRowHeight="14.4"/>
  <cols>
    <col min="1" max="1" width="21.33203125" customWidth="1"/>
    <col min="3" max="3" width="12.6640625" customWidth="1"/>
    <col min="6" max="6" width="9.5546875" customWidth="1"/>
    <col min="7" max="7" width="11.33203125" customWidth="1"/>
    <col min="9" max="9" width="11.33203125" customWidth="1"/>
    <col min="10" max="11" width="13.88671875" customWidth="1"/>
  </cols>
  <sheetData>
    <row r="1" spans="1:18" s="7" customFormat="1" ht="29.4" thickBot="1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11</v>
      </c>
      <c r="H1" s="7" t="s">
        <v>8</v>
      </c>
      <c r="I1" s="7" t="s">
        <v>12</v>
      </c>
      <c r="J1" s="7" t="s">
        <v>15</v>
      </c>
      <c r="K1" s="7" t="s">
        <v>16</v>
      </c>
      <c r="M1" s="3" t="s">
        <v>1</v>
      </c>
      <c r="N1" s="7" t="s">
        <v>24</v>
      </c>
      <c r="P1" s="7" t="s">
        <v>25</v>
      </c>
      <c r="Q1" s="7" t="s">
        <v>7</v>
      </c>
    </row>
    <row r="2" spans="1:18" ht="15" thickBot="1">
      <c r="A2" s="4">
        <v>45672.394525462965</v>
      </c>
      <c r="B2" t="s">
        <v>9</v>
      </c>
      <c r="C2" t="s">
        <v>9</v>
      </c>
      <c r="D2" t="s">
        <v>10</v>
      </c>
      <c r="E2">
        <v>1001</v>
      </c>
      <c r="F2">
        <v>25592.6</v>
      </c>
      <c r="G2" s="6">
        <f>CONVERT(F2,"m","mi")</f>
        <v>15.902504374453194</v>
      </c>
      <c r="H2">
        <v>411</v>
      </c>
      <c r="I2" s="2">
        <f>CONVERT(H2,"m","ft")</f>
        <v>1348.4251968503936</v>
      </c>
      <c r="J2" s="6">
        <f>Table1[[#This Row],[Dist (miles)]]</f>
        <v>15.902504374453194</v>
      </c>
      <c r="K2" s="2">
        <f>Table1[[#This Row],[Elv (feet)]]</f>
        <v>1348.4251968503936</v>
      </c>
      <c r="N2">
        <f>WEEKNUM(Table1[[#This Row],[When]],2)</f>
        <v>3</v>
      </c>
      <c r="O2">
        <f>N2</f>
        <v>3</v>
      </c>
      <c r="P2" cm="1">
        <f t="array" ref="P2:P7">_xlfn.UNIQUE(N2:N100)</f>
        <v>3</v>
      </c>
      <c r="Q2" s="9">
        <f>SUMIF($N$2:$N$10, P2, $G$2:$G$10)</f>
        <v>27.539544062673983</v>
      </c>
      <c r="R2" s="9">
        <f>SUMIF($N$2:$N$10, P2, $I$2:$I$10)</f>
        <v>2260.4986876640419</v>
      </c>
    </row>
    <row r="3" spans="1:18" ht="15" thickBot="1">
      <c r="A3" s="4">
        <v>45674.343009259261</v>
      </c>
      <c r="B3" t="s">
        <v>9</v>
      </c>
      <c r="C3" t="s">
        <v>9</v>
      </c>
      <c r="D3" t="s">
        <v>10</v>
      </c>
      <c r="E3">
        <v>1002</v>
      </c>
      <c r="F3">
        <v>18728</v>
      </c>
      <c r="G3" s="6">
        <f>CONVERT(F3,"m","mi")</f>
        <v>11.63703968822079</v>
      </c>
      <c r="H3">
        <v>278</v>
      </c>
      <c r="I3" s="2">
        <f>CONVERT(H3,"m","ft")</f>
        <v>912.07349081364828</v>
      </c>
      <c r="J3" s="6">
        <f>J2+Table1[[#This Row],[Dist (miles)]]</f>
        <v>27.539544062673983</v>
      </c>
      <c r="K3" s="2">
        <f>K2+Table1[[#This Row],[Elv (feet)]]</f>
        <v>2260.4986876640419</v>
      </c>
      <c r="N3">
        <f>WEEKNUM(Table1[[#This Row],[When]],2)</f>
        <v>3</v>
      </c>
      <c r="O3">
        <f t="shared" ref="O3:O8" si="0">N3</f>
        <v>3</v>
      </c>
      <c r="P3">
        <v>4</v>
      </c>
      <c r="Q3" s="9">
        <f t="shared" ref="Q3:Q6" si="1">SUMIF($N$2:$N$10, P3, $G$2:$G$10)</f>
        <v>11.517115048118985</v>
      </c>
      <c r="R3" s="9">
        <f t="shared" ref="R3:R8" si="2">SUMIF($N$2:$N$10, P3, $I$2:$I$10)</f>
        <v>912.07349081364828</v>
      </c>
    </row>
    <row r="4" spans="1:18" ht="15" thickBot="1">
      <c r="A4" s="4">
        <v>45678.342546296299</v>
      </c>
      <c r="B4" t="s">
        <v>9</v>
      </c>
      <c r="C4" t="s">
        <v>9</v>
      </c>
      <c r="D4" t="s">
        <v>10</v>
      </c>
      <c r="E4">
        <v>1003</v>
      </c>
      <c r="F4">
        <v>18535</v>
      </c>
      <c r="G4" s="6">
        <f>CONVERT(F4,"m","mi")</f>
        <v>11.517115048118985</v>
      </c>
      <c r="H4">
        <v>278</v>
      </c>
      <c r="I4" s="2">
        <f>CONVERT(H4,"m","ft")</f>
        <v>912.07349081364828</v>
      </c>
      <c r="J4" s="6">
        <f>J3+Table1[[#This Row],[Dist (miles)]]</f>
        <v>39.056659110792964</v>
      </c>
      <c r="K4" s="2">
        <f>K3+Table1[[#This Row],[Elv (feet)]]</f>
        <v>3172.5721784776902</v>
      </c>
      <c r="N4">
        <f>WEEKNUM(Table1[[#This Row],[When]],2)</f>
        <v>4</v>
      </c>
      <c r="O4">
        <f t="shared" si="0"/>
        <v>4</v>
      </c>
      <c r="P4">
        <v>6</v>
      </c>
      <c r="Q4" s="9">
        <f t="shared" si="1"/>
        <v>31.11445190089875</v>
      </c>
      <c r="R4" s="9">
        <f t="shared" si="2"/>
        <v>2676.3254593175852</v>
      </c>
    </row>
    <row r="5" spans="1:18" ht="15" thickBot="1">
      <c r="A5" s="4">
        <v>45691.380266203705</v>
      </c>
      <c r="B5" t="s">
        <v>9</v>
      </c>
      <c r="C5" t="s">
        <v>9</v>
      </c>
      <c r="D5" t="s">
        <v>10</v>
      </c>
      <c r="E5">
        <v>1004</v>
      </c>
      <c r="F5">
        <v>24453.1</v>
      </c>
      <c r="G5" s="6">
        <f>CONVERT(F5,"m","mi")</f>
        <v>15.194451900898752</v>
      </c>
      <c r="H5">
        <v>425.6</v>
      </c>
      <c r="I5" s="2">
        <f>CONVERT(H5,"m","ft")</f>
        <v>1396.3254593175852</v>
      </c>
      <c r="J5" s="6">
        <f>J4+Table1[[#This Row],[Dist (miles)]]</f>
        <v>54.251111011691719</v>
      </c>
      <c r="K5" s="2">
        <f>K4+Table1[[#This Row],[Elv (feet)]]</f>
        <v>4568.8976377952749</v>
      </c>
      <c r="N5">
        <f>WEEKNUM(Table1[[#This Row],[When]],2)</f>
        <v>6</v>
      </c>
      <c r="O5">
        <f t="shared" si="0"/>
        <v>6</v>
      </c>
      <c r="P5">
        <v>7</v>
      </c>
      <c r="Q5" s="9">
        <f t="shared" si="1"/>
        <v>15.1</v>
      </c>
      <c r="R5" s="9">
        <f t="shared" si="2"/>
        <v>1654</v>
      </c>
    </row>
    <row r="6" spans="1:18" ht="15" thickBot="1">
      <c r="A6" s="4">
        <v>45695</v>
      </c>
      <c r="E6">
        <v>1005</v>
      </c>
      <c r="G6" s="6">
        <v>15.92</v>
      </c>
      <c r="I6" s="2">
        <v>1280</v>
      </c>
      <c r="J6" s="6">
        <f>J5+Table1[[#This Row],[Dist (miles)]]</f>
        <v>70.171111011691721</v>
      </c>
      <c r="K6" s="2">
        <f>K5+Table1[[#This Row],[Elv (feet)]]</f>
        <v>5848.8976377952749</v>
      </c>
      <c r="N6">
        <f>WEEKNUM(Table1[[#This Row],[When]],2)</f>
        <v>6</v>
      </c>
      <c r="O6">
        <f t="shared" si="0"/>
        <v>6</v>
      </c>
      <c r="P6">
        <v>1</v>
      </c>
      <c r="Q6" s="9">
        <f t="shared" ref="Q6" si="3">SUMIF($N$2:$N$10, P6, $G$2:$G$10)</f>
        <v>0</v>
      </c>
      <c r="R6" s="9">
        <f t="shared" ref="R6" si="4">SUMIF($N$2:$N$10, P6, $I$2:$I$10)</f>
        <v>0</v>
      </c>
    </row>
    <row r="7" spans="1:18" ht="15" thickBot="1">
      <c r="A7" s="4">
        <v>45700</v>
      </c>
      <c r="E7">
        <v>1006</v>
      </c>
      <c r="G7" s="6">
        <v>15.1</v>
      </c>
      <c r="I7" s="2">
        <v>1654</v>
      </c>
      <c r="J7" s="6">
        <f>J6+Table1[[#This Row],[Dist (miles)]]</f>
        <v>85.271111011691715</v>
      </c>
      <c r="K7" s="2">
        <f>K6+Table1[[#This Row],[Elv (feet)]]</f>
        <v>7502.8976377952749</v>
      </c>
      <c r="N7">
        <f>WEEKNUM(Table1[[#This Row],[When]],2)</f>
        <v>7</v>
      </c>
      <c r="O7">
        <f t="shared" si="0"/>
        <v>7</v>
      </c>
      <c r="P7">
        <v>0</v>
      </c>
      <c r="Q7" s="9">
        <f t="shared" ref="Q7:Q8" si="5">SUMIF($N$2:$N$10, P7, $G$2:$G$10)</f>
        <v>0</v>
      </c>
      <c r="R7" s="9">
        <f t="shared" si="2"/>
        <v>0</v>
      </c>
    </row>
    <row r="8" spans="1:18" ht="15" thickBot="1">
      <c r="A8" s="4"/>
      <c r="G8" s="6"/>
      <c r="I8" s="2"/>
      <c r="J8" s="6"/>
      <c r="K8" s="2"/>
      <c r="N8">
        <f>WEEKNUM(Table1[[#This Row],[When]],2)</f>
        <v>1</v>
      </c>
      <c r="O8">
        <f t="shared" si="0"/>
        <v>1</v>
      </c>
      <c r="Q8" s="9">
        <f t="shared" si="5"/>
        <v>0</v>
      </c>
      <c r="R8" s="9">
        <f t="shared" si="2"/>
        <v>0</v>
      </c>
    </row>
    <row r="9" spans="1:18">
      <c r="A9" s="4"/>
      <c r="G9" s="6"/>
      <c r="I9" s="2"/>
      <c r="J9" s="6"/>
      <c r="K9" s="2"/>
    </row>
    <row r="10" spans="1:18">
      <c r="A10" s="4"/>
      <c r="G10" s="6"/>
      <c r="I10" s="2"/>
      <c r="J10" s="6"/>
      <c r="K10" s="2"/>
    </row>
    <row r="11" spans="1:18">
      <c r="A11" s="4"/>
      <c r="G11" s="6"/>
      <c r="I11" s="2"/>
      <c r="J11" s="6"/>
      <c r="K11" s="2"/>
    </row>
    <row r="12" spans="1:18">
      <c r="A12" s="4"/>
      <c r="G12" s="6"/>
      <c r="I12" s="2"/>
      <c r="J12" s="6"/>
      <c r="K12" s="2"/>
    </row>
    <row r="13" spans="1:18">
      <c r="A13" s="4"/>
      <c r="G13" s="6"/>
      <c r="I13" s="2"/>
      <c r="J13" s="6"/>
      <c r="K13" s="2"/>
    </row>
    <row r="14" spans="1:18">
      <c r="A14" s="4"/>
      <c r="G14" s="6"/>
      <c r="I14" s="2"/>
      <c r="J14" s="6"/>
      <c r="K14" s="2"/>
    </row>
    <row r="15" spans="1:18">
      <c r="A15" s="4"/>
      <c r="G15" s="6"/>
      <c r="I15" s="2"/>
      <c r="J15" s="6"/>
      <c r="K15" s="2"/>
    </row>
    <row r="16" spans="1:18">
      <c r="A16" s="4"/>
      <c r="G16" s="6"/>
      <c r="I16" s="2"/>
      <c r="J16" s="6"/>
      <c r="K16" s="2"/>
    </row>
    <row r="17" spans="1:11">
      <c r="A17" s="4"/>
      <c r="G17" s="6"/>
      <c r="I17" s="2"/>
      <c r="J17" s="6"/>
      <c r="K17" s="2"/>
    </row>
    <row r="18" spans="1:11">
      <c r="A18" s="4"/>
      <c r="G18" s="6"/>
      <c r="I18" s="2"/>
      <c r="J18" s="6"/>
      <c r="K18" s="2"/>
    </row>
    <row r="19" spans="1:11">
      <c r="A19" s="4"/>
      <c r="G19" s="6"/>
      <c r="I19" s="2"/>
      <c r="J19" s="6"/>
      <c r="K19" s="2"/>
    </row>
    <row r="20" spans="1:11">
      <c r="A20" s="4"/>
      <c r="G20" s="6"/>
      <c r="I20" s="2"/>
      <c r="J20" s="6"/>
      <c r="K20" s="2"/>
    </row>
    <row r="21" spans="1:11">
      <c r="A21" s="4"/>
      <c r="G21" s="6"/>
      <c r="I21" s="2"/>
      <c r="J21" s="6"/>
      <c r="K21" s="2"/>
    </row>
    <row r="22" spans="1:11">
      <c r="A22" s="4"/>
      <c r="G22" s="6"/>
      <c r="I22" s="2"/>
      <c r="J22" s="6"/>
      <c r="K22" s="2"/>
    </row>
    <row r="23" spans="1:11">
      <c r="A23" s="4"/>
      <c r="G23" s="6"/>
      <c r="I23" s="2"/>
      <c r="J23" s="6"/>
      <c r="K23" s="2"/>
    </row>
    <row r="24" spans="1:11">
      <c r="A24" s="4"/>
      <c r="G24" s="6"/>
      <c r="I24" s="2"/>
      <c r="J24" s="6"/>
      <c r="K24" s="2"/>
    </row>
    <row r="25" spans="1:11">
      <c r="A25" s="4"/>
      <c r="G25" s="6"/>
      <c r="I25" s="2"/>
      <c r="J25" s="6"/>
      <c r="K25" s="2"/>
    </row>
    <row r="26" spans="1:11">
      <c r="A26" s="4"/>
      <c r="G26" s="6"/>
      <c r="I26" s="2"/>
      <c r="J26" s="6"/>
      <c r="K26" s="2"/>
    </row>
    <row r="27" spans="1:11">
      <c r="A27" s="4"/>
      <c r="G27" s="6"/>
      <c r="I27" s="2"/>
      <c r="J27" s="6"/>
      <c r="K27" s="2"/>
    </row>
    <row r="28" spans="1:11">
      <c r="A28" s="4"/>
      <c r="G28" s="6"/>
      <c r="I28" s="2"/>
      <c r="J28" s="6"/>
      <c r="K28" s="2"/>
    </row>
    <row r="29" spans="1:11">
      <c r="A29" s="4"/>
      <c r="G29" s="6"/>
      <c r="I29" s="2"/>
      <c r="J29" s="6"/>
      <c r="K29" s="2"/>
    </row>
    <row r="30" spans="1:11">
      <c r="A30" s="4"/>
      <c r="G30" s="6"/>
      <c r="I30" s="2"/>
      <c r="J30" s="6"/>
      <c r="K30" s="2"/>
    </row>
    <row r="31" spans="1:11">
      <c r="A31" s="4"/>
      <c r="G31" s="6"/>
      <c r="I31" s="2"/>
      <c r="J31" s="6"/>
      <c r="K31" s="2"/>
    </row>
    <row r="32" spans="1:11">
      <c r="A32" s="4"/>
      <c r="G32" s="6"/>
      <c r="I32" s="2"/>
      <c r="J32" s="6"/>
      <c r="K32" s="2"/>
    </row>
    <row r="33" spans="1:11">
      <c r="A33" s="4"/>
      <c r="G33" s="6"/>
      <c r="I33" s="2"/>
      <c r="J33" s="6"/>
      <c r="K33" s="2"/>
    </row>
    <row r="34" spans="1:11">
      <c r="A34" s="4"/>
      <c r="G34" s="6"/>
      <c r="I34" s="2"/>
      <c r="J34" s="6"/>
      <c r="K34" s="2"/>
    </row>
    <row r="35" spans="1:11">
      <c r="A35" s="4"/>
      <c r="G35" s="6"/>
      <c r="I35" s="2"/>
      <c r="J35" s="6"/>
      <c r="K35" s="2"/>
    </row>
    <row r="36" spans="1:11">
      <c r="A36" s="4"/>
      <c r="G36" s="6"/>
      <c r="I36" s="2"/>
      <c r="J36" s="6"/>
      <c r="K36" s="2"/>
    </row>
    <row r="37" spans="1:11">
      <c r="A37" s="4"/>
      <c r="G37" s="6"/>
      <c r="I37" s="2"/>
      <c r="J37" s="6"/>
      <c r="K37" s="2"/>
    </row>
    <row r="38" spans="1:11">
      <c r="A38" s="4"/>
      <c r="G38" s="6"/>
      <c r="I38" s="2"/>
      <c r="J38" s="6"/>
      <c r="K38" s="2"/>
    </row>
    <row r="39" spans="1:11">
      <c r="A39" s="4"/>
      <c r="G39" s="6"/>
      <c r="I39" s="2"/>
      <c r="J39" s="6"/>
      <c r="K39" s="2"/>
    </row>
    <row r="40" spans="1:11">
      <c r="A40" s="4"/>
      <c r="G40" s="6"/>
      <c r="I40" s="2"/>
      <c r="J40" s="6"/>
      <c r="K40" s="2"/>
    </row>
    <row r="41" spans="1:11">
      <c r="A41" s="4"/>
      <c r="G41" s="6"/>
      <c r="I41" s="2"/>
      <c r="J41" s="6"/>
      <c r="K41" s="2"/>
    </row>
    <row r="42" spans="1:11">
      <c r="A42" s="4"/>
      <c r="G42" s="6"/>
      <c r="I42" s="2"/>
      <c r="J42" s="6"/>
      <c r="K42" s="2"/>
    </row>
    <row r="43" spans="1:11">
      <c r="A43" s="4"/>
      <c r="G43" s="6"/>
      <c r="I43" s="2"/>
      <c r="J43" s="6"/>
      <c r="K43" s="2"/>
    </row>
    <row r="44" spans="1:11">
      <c r="A44" s="4"/>
      <c r="G44" s="6"/>
      <c r="I44" s="2"/>
      <c r="J44" s="6"/>
      <c r="K44" s="2"/>
    </row>
    <row r="45" spans="1:11">
      <c r="A45" s="4"/>
      <c r="G45" s="6"/>
      <c r="I45" s="2"/>
      <c r="J45" s="6"/>
      <c r="K45" s="2"/>
    </row>
    <row r="46" spans="1:11">
      <c r="A46" s="4"/>
      <c r="G46" s="6"/>
      <c r="I46" s="2"/>
      <c r="J46" s="6"/>
      <c r="K46" s="2"/>
    </row>
    <row r="47" spans="1:11">
      <c r="A47" s="4"/>
      <c r="G47" s="6"/>
      <c r="I47" s="2"/>
      <c r="J47" s="6"/>
      <c r="K47" s="2"/>
    </row>
    <row r="48" spans="1:11">
      <c r="A48" s="4"/>
      <c r="G48" s="6"/>
      <c r="I48" s="2"/>
      <c r="J48" s="6"/>
      <c r="K48" s="2"/>
    </row>
    <row r="49" spans="1:11">
      <c r="A49" s="4"/>
      <c r="G49" s="6"/>
      <c r="I49" s="2"/>
      <c r="J49" s="6"/>
      <c r="K49" s="2"/>
    </row>
    <row r="50" spans="1:11">
      <c r="A50" s="4"/>
      <c r="G50" s="6"/>
      <c r="I50" s="2"/>
      <c r="J50" s="6"/>
      <c r="K50" s="2"/>
    </row>
    <row r="51" spans="1:11">
      <c r="A51" s="4"/>
      <c r="G51" s="6"/>
      <c r="I51" s="2"/>
      <c r="J51" s="6"/>
      <c r="K51" s="2"/>
    </row>
    <row r="52" spans="1:11">
      <c r="A52" s="4"/>
      <c r="G52" s="6"/>
      <c r="I52" s="2"/>
      <c r="J52" s="6"/>
      <c r="K52" s="2"/>
    </row>
    <row r="53" spans="1:11">
      <c r="A53" s="4"/>
      <c r="G53" s="6"/>
      <c r="I53" s="2"/>
      <c r="J53" s="6"/>
      <c r="K53" s="2"/>
    </row>
    <row r="54" spans="1:11">
      <c r="A54" s="4"/>
      <c r="G54" s="6"/>
      <c r="I54" s="2"/>
      <c r="J54" s="6"/>
      <c r="K54" s="2"/>
    </row>
    <row r="55" spans="1:11">
      <c r="A55" s="4"/>
      <c r="G55" s="6"/>
      <c r="I55" s="2"/>
      <c r="J55" s="6"/>
      <c r="K55" s="2"/>
    </row>
    <row r="56" spans="1:11">
      <c r="A56" s="4"/>
      <c r="G56" s="6"/>
      <c r="I56" s="2"/>
      <c r="J56" s="6"/>
      <c r="K56" s="2"/>
    </row>
    <row r="57" spans="1:11">
      <c r="A57" s="4"/>
      <c r="G57" s="6"/>
      <c r="I57" s="2"/>
      <c r="J57" s="6"/>
      <c r="K57" s="2"/>
    </row>
    <row r="58" spans="1:11">
      <c r="A58" s="4"/>
      <c r="G58" s="6"/>
      <c r="I58" s="2"/>
      <c r="J58" s="6"/>
      <c r="K58" s="2"/>
    </row>
    <row r="59" spans="1:11">
      <c r="A59" s="4"/>
      <c r="G59" s="6"/>
      <c r="I59" s="2"/>
      <c r="J59" s="6"/>
      <c r="K59" s="2"/>
    </row>
    <row r="60" spans="1:11">
      <c r="A60" s="4"/>
      <c r="G60" s="6"/>
      <c r="I60" s="2"/>
      <c r="J60" s="6"/>
      <c r="K60" s="2"/>
    </row>
    <row r="61" spans="1:11">
      <c r="A61" s="4"/>
      <c r="G61" s="6"/>
      <c r="I61" s="2"/>
      <c r="J61" s="6"/>
      <c r="K61" s="2"/>
    </row>
    <row r="62" spans="1:11">
      <c r="A62" s="4"/>
      <c r="G62" s="6"/>
      <c r="I62" s="2"/>
      <c r="J62" s="6"/>
      <c r="K62" s="2"/>
    </row>
    <row r="63" spans="1:11">
      <c r="A63" s="4"/>
      <c r="G63" s="6"/>
      <c r="I63" s="2"/>
      <c r="J63" s="6"/>
      <c r="K63" s="2"/>
    </row>
    <row r="64" spans="1:11">
      <c r="A64" s="4"/>
      <c r="G64" s="6"/>
      <c r="I64" s="2"/>
      <c r="J64" s="6"/>
      <c r="K64" s="2"/>
    </row>
    <row r="65" spans="1:11">
      <c r="A65" s="4"/>
      <c r="G65" s="6"/>
      <c r="I65" s="2"/>
      <c r="J65" s="6"/>
      <c r="K65" s="2"/>
    </row>
    <row r="66" spans="1:11">
      <c r="A66" s="4"/>
      <c r="G66" s="6"/>
      <c r="I66" s="2"/>
      <c r="J66" s="6"/>
      <c r="K66" s="2"/>
    </row>
    <row r="67" spans="1:11">
      <c r="A67" s="4"/>
      <c r="G67" s="6"/>
      <c r="I67" s="2"/>
      <c r="J67" s="6"/>
      <c r="K67" s="2"/>
    </row>
    <row r="68" spans="1:11">
      <c r="A68" s="4"/>
      <c r="G68" s="6"/>
      <c r="I68" s="2"/>
      <c r="J68" s="6"/>
      <c r="K68" s="2"/>
    </row>
    <row r="69" spans="1:11">
      <c r="A69" s="4"/>
      <c r="G69" s="6"/>
      <c r="I69" s="2"/>
      <c r="J69" s="6"/>
      <c r="K69" s="2"/>
    </row>
    <row r="70" spans="1:11">
      <c r="A70" s="4"/>
      <c r="G70" s="6"/>
      <c r="I70" s="2"/>
      <c r="J70" s="6"/>
      <c r="K70" s="2"/>
    </row>
    <row r="71" spans="1:11">
      <c r="A71" s="4"/>
      <c r="G71" s="6"/>
      <c r="I71" s="2"/>
      <c r="J71" s="6"/>
      <c r="K71" s="2"/>
    </row>
    <row r="72" spans="1:11">
      <c r="A72" s="4"/>
      <c r="G72" s="6"/>
      <c r="I72" s="2"/>
      <c r="J72" s="6"/>
      <c r="K72" s="2"/>
    </row>
    <row r="73" spans="1:11">
      <c r="A73" s="4"/>
      <c r="G73" s="6"/>
      <c r="I73" s="2"/>
      <c r="J73" s="6"/>
      <c r="K73" s="2"/>
    </row>
    <row r="74" spans="1:11">
      <c r="A74" s="4"/>
      <c r="G74" s="6"/>
      <c r="I74" s="2"/>
      <c r="J74" s="6"/>
      <c r="K74" s="2"/>
    </row>
    <row r="75" spans="1:11">
      <c r="A75" s="4"/>
      <c r="G75" s="6"/>
      <c r="I75" s="2"/>
      <c r="J75" s="6"/>
      <c r="K75" s="2"/>
    </row>
    <row r="76" spans="1:11">
      <c r="A76" s="4"/>
      <c r="G76" s="6"/>
      <c r="I76" s="2"/>
      <c r="J76" s="6"/>
      <c r="K76" s="2"/>
    </row>
    <row r="77" spans="1:11">
      <c r="A77" s="4"/>
      <c r="G77" s="6"/>
      <c r="I77" s="2"/>
      <c r="J77" s="6"/>
      <c r="K77" s="2"/>
    </row>
    <row r="78" spans="1:11">
      <c r="A78" s="4"/>
      <c r="G78" s="6"/>
      <c r="I78" s="2"/>
      <c r="J78" s="6"/>
      <c r="K78" s="2"/>
    </row>
    <row r="79" spans="1:11">
      <c r="A79" s="4"/>
      <c r="G79" s="6"/>
      <c r="I79" s="2"/>
      <c r="J79" s="6"/>
      <c r="K79" s="2"/>
    </row>
    <row r="80" spans="1:11">
      <c r="A80" s="4"/>
      <c r="G80" s="6"/>
      <c r="I80" s="2"/>
      <c r="J80" s="6"/>
      <c r="K80" s="2"/>
    </row>
    <row r="81" spans="1:11">
      <c r="A81" s="4"/>
      <c r="G81" s="6"/>
      <c r="I81" s="2"/>
      <c r="J81" s="6"/>
      <c r="K81" s="2"/>
    </row>
    <row r="82" spans="1:11">
      <c r="A82" s="4"/>
      <c r="G82" s="6"/>
      <c r="I82" s="2"/>
      <c r="J82" s="6"/>
      <c r="K82" s="2"/>
    </row>
    <row r="83" spans="1:11">
      <c r="A83" s="4"/>
      <c r="G83" s="6"/>
      <c r="I83" s="2"/>
      <c r="J83" s="6"/>
      <c r="K83" s="2"/>
    </row>
    <row r="84" spans="1:11">
      <c r="A84" s="4"/>
      <c r="G84" s="6"/>
      <c r="I84" s="2"/>
      <c r="J84" s="6"/>
      <c r="K84" s="2"/>
    </row>
    <row r="85" spans="1:11">
      <c r="A85" s="4"/>
      <c r="G85" s="6"/>
      <c r="I85" s="2"/>
      <c r="J85" s="6"/>
      <c r="K85" s="2"/>
    </row>
    <row r="86" spans="1:11">
      <c r="A86" s="4"/>
      <c r="G86" s="6"/>
      <c r="I86" s="2"/>
      <c r="J86" s="6"/>
      <c r="K86" s="2"/>
    </row>
    <row r="87" spans="1:11">
      <c r="A87" s="4"/>
      <c r="G87" s="6"/>
      <c r="I87" s="2"/>
      <c r="J87" s="6"/>
      <c r="K87" s="2"/>
    </row>
    <row r="88" spans="1:11">
      <c r="A88" s="4"/>
      <c r="G88" s="6"/>
      <c r="I88" s="2"/>
      <c r="J88" s="6"/>
      <c r="K88" s="2"/>
    </row>
    <row r="89" spans="1:11">
      <c r="A89" s="4"/>
      <c r="G89" s="6"/>
      <c r="I89" s="2"/>
      <c r="J89" s="6"/>
      <c r="K89" s="2"/>
    </row>
    <row r="90" spans="1:11">
      <c r="A90" s="4"/>
      <c r="G90" s="6"/>
      <c r="I90" s="2"/>
      <c r="J90" s="6"/>
      <c r="K90" s="2"/>
    </row>
    <row r="91" spans="1:11">
      <c r="A91" s="4"/>
      <c r="G91" s="6"/>
      <c r="I91" s="2"/>
      <c r="J91" s="6"/>
      <c r="K91" s="2"/>
    </row>
    <row r="92" spans="1:11">
      <c r="A92" s="4"/>
      <c r="G92" s="6"/>
      <c r="I92" s="2"/>
      <c r="J92" s="6"/>
      <c r="K92" s="2"/>
    </row>
    <row r="93" spans="1:11">
      <c r="A93" s="4"/>
      <c r="G93" s="6"/>
      <c r="I93" s="2"/>
      <c r="J93" s="6"/>
      <c r="K93" s="2"/>
    </row>
    <row r="94" spans="1:11">
      <c r="A94" s="4"/>
      <c r="G94" s="6"/>
      <c r="I94" s="2"/>
      <c r="J94" s="6"/>
      <c r="K94" s="2"/>
    </row>
    <row r="95" spans="1:11">
      <c r="A95" s="4"/>
      <c r="G95" s="6"/>
      <c r="I95" s="2"/>
      <c r="J95" s="6"/>
      <c r="K95" s="2"/>
    </row>
    <row r="96" spans="1:11">
      <c r="A96" s="4"/>
      <c r="G96" s="6"/>
      <c r="I96" s="2"/>
      <c r="J96" s="6"/>
      <c r="K96" s="2"/>
    </row>
    <row r="97" spans="1:11">
      <c r="A97" s="4"/>
      <c r="G97" s="6"/>
      <c r="I97" s="2"/>
      <c r="J97" s="6"/>
      <c r="K97" s="2"/>
    </row>
    <row r="98" spans="1:11">
      <c r="A98" s="4"/>
      <c r="G98" s="6"/>
      <c r="I98" s="2"/>
      <c r="J98" s="6"/>
      <c r="K98" s="2"/>
    </row>
    <row r="99" spans="1:11">
      <c r="A99" s="4"/>
      <c r="G99" s="6"/>
      <c r="I99" s="2"/>
      <c r="J99" s="6"/>
      <c r="K99" s="2"/>
    </row>
    <row r="100" spans="1:11">
      <c r="A100" s="4"/>
      <c r="G100" s="6"/>
      <c r="I100" s="2"/>
      <c r="J100" s="6"/>
      <c r="K100" s="2"/>
    </row>
    <row r="101" spans="1:11">
      <c r="B101" s="5"/>
      <c r="C101" s="5"/>
      <c r="D101" s="5"/>
      <c r="E101" s="5"/>
      <c r="F101" s="5"/>
      <c r="G101" s="5">
        <f>SUBTOTAL(109,Table1[Dist (miles)])</f>
        <v>85.271111011691715</v>
      </c>
      <c r="H101" s="5"/>
      <c r="I101" s="5">
        <f>SUBTOTAL(109,Table1[Elv (feet)])</f>
        <v>7502.8976377952749</v>
      </c>
      <c r="J101" s="5"/>
      <c r="K101" s="5"/>
    </row>
  </sheetData>
  <hyperlinks>
    <hyperlink ref="M1" r:id="rId1" xr:uid="{4014F530-0D62-4DB2-848C-3103EDEC77E7}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Longworth</dc:creator>
  <cp:lastModifiedBy>Phil Longworth</cp:lastModifiedBy>
  <dcterms:created xsi:type="dcterms:W3CDTF">2025-02-02T21:56:04Z</dcterms:created>
  <dcterms:modified xsi:type="dcterms:W3CDTF">2025-02-12T17:15:28Z</dcterms:modified>
</cp:coreProperties>
</file>