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pmm262_cornell_edu/Documents/Documents/First Publication Tracer Tests/"/>
    </mc:Choice>
  </mc:AlternateContent>
  <xr:revisionPtr revIDLastSave="226" documentId="8_{7E6E6EDA-11A1-4803-93E4-9F85DBC7937E}" xr6:coauthVersionLast="45" xr6:coauthVersionMax="45" xr10:uidLastSave="{6D767C56-50E2-4311-81F2-5FCC9683D349}"/>
  <bookViews>
    <workbookView xWindow="-120" yWindow="-120" windowWidth="29040" windowHeight="15840" firstSheet="3" activeTab="3" xr2:uid="{00000000-000D-0000-FFFF-FFFF00000000}"/>
  </bookViews>
  <sheets>
    <sheet name="Autosampler - FID" sheetId="1" r:id="rId1"/>
    <sheet name="Autosampler - TCD" sheetId="2" r:id="rId2"/>
    <sheet name="Autosampler - ECD" sheetId="3" r:id="rId3"/>
    <sheet name="Aqueous Samples" sheetId="4" r:id="rId4"/>
  </sheets>
  <definedNames>
    <definedName name="_xlnm._FilterDatabase" localSheetId="3" hidden="1">'Aqueous Samples'!$BG$12:$BH$48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4" l="1"/>
  <c r="K27" i="4"/>
  <c r="E29" i="4"/>
  <c r="E30" i="4"/>
  <c r="E31" i="4"/>
  <c r="E32" i="4"/>
  <c r="E33" i="4"/>
  <c r="E34" i="4"/>
  <c r="E35" i="4"/>
  <c r="E36" i="4"/>
  <c r="E37" i="4"/>
  <c r="E28" i="4"/>
  <c r="E27" i="4"/>
  <c r="D27" i="4" s="1"/>
  <c r="U27" i="4"/>
  <c r="Z27" i="4" s="1"/>
  <c r="T27" i="4"/>
  <c r="Y27" i="4" s="1"/>
  <c r="S27" i="4"/>
  <c r="X27" i="4" s="1"/>
  <c r="R27" i="4"/>
  <c r="AB27" i="4" s="1"/>
  <c r="Q27" i="4"/>
  <c r="AA27" i="4" s="1"/>
  <c r="W27" i="4" l="1"/>
  <c r="AG27" i="4" s="1"/>
  <c r="AL27" i="4" s="1"/>
  <c r="V27" i="4"/>
  <c r="AF27" i="4" s="1"/>
  <c r="AK27" i="4" s="1"/>
  <c r="AE27" i="4"/>
  <c r="AJ27" i="4" s="1"/>
  <c r="AO27" i="4" s="1"/>
  <c r="AD27" i="4"/>
  <c r="AI27" i="4" s="1"/>
  <c r="AN27" i="4" s="1"/>
  <c r="AC27" i="4"/>
  <c r="AH27" i="4" s="1"/>
  <c r="AM27" i="4" s="1"/>
  <c r="E12" i="4"/>
  <c r="U35" i="4" l="1"/>
  <c r="Z35" i="4" s="1"/>
  <c r="U36" i="4"/>
  <c r="Z36" i="4" s="1"/>
  <c r="U37" i="4"/>
  <c r="Z37" i="4" s="1"/>
  <c r="T35" i="4"/>
  <c r="AD35" i="4" s="1"/>
  <c r="T36" i="4"/>
  <c r="Y36" i="4" s="1"/>
  <c r="T37" i="4"/>
  <c r="Y37" i="4" s="1"/>
  <c r="S35" i="4"/>
  <c r="X35" i="4" s="1"/>
  <c r="S36" i="4"/>
  <c r="AC36" i="4" s="1"/>
  <c r="S37" i="4"/>
  <c r="X37" i="4" s="1"/>
  <c r="R35" i="4"/>
  <c r="W35" i="4" s="1"/>
  <c r="R36" i="4"/>
  <c r="W36" i="4" s="1"/>
  <c r="R37" i="4"/>
  <c r="AB37" i="4" s="1"/>
  <c r="Q35" i="4"/>
  <c r="V35" i="4" s="1"/>
  <c r="Q36" i="4"/>
  <c r="V36" i="4" s="1"/>
  <c r="Q37" i="4"/>
  <c r="V37" i="4" s="1"/>
  <c r="J37" i="4"/>
  <c r="K37" i="4"/>
  <c r="J36" i="4"/>
  <c r="K36" i="4"/>
  <c r="J35" i="4"/>
  <c r="K35" i="4"/>
  <c r="D37" i="4"/>
  <c r="D36" i="4"/>
  <c r="D35" i="4"/>
  <c r="AA37" i="4" l="1"/>
  <c r="W37" i="4"/>
  <c r="AG37" i="4" s="1"/>
  <c r="AL37" i="4" s="1"/>
  <c r="AB36" i="4"/>
  <c r="AG36" i="4" s="1"/>
  <c r="AL36" i="4" s="1"/>
  <c r="AF37" i="4"/>
  <c r="AK37" i="4" s="1"/>
  <c r="X36" i="4"/>
  <c r="AH36" i="4" s="1"/>
  <c r="AM36" i="4" s="1"/>
  <c r="AC35" i="4"/>
  <c r="AH35" i="4" s="1"/>
  <c r="AM35" i="4" s="1"/>
  <c r="Y35" i="4"/>
  <c r="AI35" i="4" s="1"/>
  <c r="AN35" i="4" s="1"/>
  <c r="AE37" i="4"/>
  <c r="AJ37" i="4" s="1"/>
  <c r="AO37" i="4" s="1"/>
  <c r="AA36" i="4"/>
  <c r="AF36" i="4" s="1"/>
  <c r="AK36" i="4" s="1"/>
  <c r="AB35" i="4"/>
  <c r="AG35" i="4" s="1"/>
  <c r="AL35" i="4" s="1"/>
  <c r="AD37" i="4"/>
  <c r="AI37" i="4" s="1"/>
  <c r="AN37" i="4" s="1"/>
  <c r="AE36" i="4"/>
  <c r="AJ36" i="4" s="1"/>
  <c r="AO36" i="4" s="1"/>
  <c r="AA35" i="4"/>
  <c r="AF35" i="4" s="1"/>
  <c r="AK35" i="4" s="1"/>
  <c r="AC37" i="4"/>
  <c r="AH37" i="4" s="1"/>
  <c r="AM37" i="4" s="1"/>
  <c r="AD36" i="4"/>
  <c r="AI36" i="4" s="1"/>
  <c r="AN36" i="4" s="1"/>
  <c r="AE35" i="4"/>
  <c r="AJ35" i="4" s="1"/>
  <c r="AO35" i="4" s="1"/>
  <c r="T6" i="4"/>
  <c r="T7" i="4"/>
  <c r="T15" i="4"/>
  <c r="T16" i="4"/>
  <c r="T17" i="4"/>
  <c r="T18" i="4"/>
  <c r="T19" i="4"/>
  <c r="T20" i="4"/>
  <c r="T21" i="4"/>
  <c r="T22" i="4"/>
  <c r="T23" i="4"/>
  <c r="T24" i="4"/>
  <c r="T25" i="4"/>
  <c r="T26" i="4"/>
  <c r="T28" i="4"/>
  <c r="T29" i="4"/>
  <c r="T30" i="4"/>
  <c r="T31" i="4"/>
  <c r="T32" i="4"/>
  <c r="T33" i="4"/>
  <c r="T34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8" i="4"/>
  <c r="S29" i="4"/>
  <c r="S30" i="4"/>
  <c r="S31" i="4"/>
  <c r="S32" i="4"/>
  <c r="S33" i="4"/>
  <c r="S34" i="4"/>
  <c r="S6" i="4"/>
  <c r="R7" i="4"/>
  <c r="R8" i="4"/>
  <c r="R15" i="4"/>
  <c r="R16" i="4"/>
  <c r="R17" i="4"/>
  <c r="R18" i="4"/>
  <c r="R19" i="4"/>
  <c r="R20" i="4"/>
  <c r="R21" i="4"/>
  <c r="R22" i="4"/>
  <c r="R23" i="4"/>
  <c r="R24" i="4"/>
  <c r="R25" i="4"/>
  <c r="R26" i="4"/>
  <c r="R28" i="4"/>
  <c r="R29" i="4"/>
  <c r="R30" i="4"/>
  <c r="R31" i="4"/>
  <c r="R32" i="4"/>
  <c r="R33" i="4"/>
  <c r="R34" i="4"/>
  <c r="R6" i="4"/>
  <c r="Q7" i="4"/>
  <c r="Q8" i="4"/>
  <c r="Q16" i="4"/>
  <c r="Q17" i="4"/>
  <c r="Q18" i="4"/>
  <c r="Q19" i="4"/>
  <c r="Q20" i="4"/>
  <c r="Q21" i="4"/>
  <c r="Q22" i="4"/>
  <c r="Q23" i="4"/>
  <c r="Q24" i="4"/>
  <c r="Q25" i="4"/>
  <c r="Q26" i="4"/>
  <c r="Q28" i="4"/>
  <c r="Q29" i="4"/>
  <c r="Q30" i="4"/>
  <c r="Q31" i="4"/>
  <c r="Q32" i="4"/>
  <c r="Q33" i="4"/>
  <c r="Q34" i="4"/>
  <c r="Q6" i="4"/>
  <c r="V6" i="4" s="1"/>
  <c r="U7" i="4"/>
  <c r="U8" i="4"/>
  <c r="AE8" i="4" s="1"/>
  <c r="U9" i="4"/>
  <c r="Z9" i="4" s="1"/>
  <c r="U10" i="4"/>
  <c r="Z10" i="4" s="1"/>
  <c r="U11" i="4"/>
  <c r="U12" i="4"/>
  <c r="AE12" i="4" s="1"/>
  <c r="U13" i="4"/>
  <c r="Z13" i="4" s="1"/>
  <c r="U14" i="4"/>
  <c r="AE14" i="4" s="1"/>
  <c r="U15" i="4"/>
  <c r="U16" i="4"/>
  <c r="AE16" i="4" s="1"/>
  <c r="U17" i="4"/>
  <c r="AE17" i="4" s="1"/>
  <c r="U18" i="4"/>
  <c r="Z18" i="4" s="1"/>
  <c r="U19" i="4"/>
  <c r="U20" i="4"/>
  <c r="AE20" i="4" s="1"/>
  <c r="U21" i="4"/>
  <c r="Z21" i="4" s="1"/>
  <c r="U22" i="4"/>
  <c r="AE22" i="4" s="1"/>
  <c r="U23" i="4"/>
  <c r="U24" i="4"/>
  <c r="AE24" i="4" s="1"/>
  <c r="U25" i="4"/>
  <c r="AE25" i="4" s="1"/>
  <c r="U26" i="4"/>
  <c r="Z26" i="4" s="1"/>
  <c r="U28" i="4"/>
  <c r="U29" i="4"/>
  <c r="AE29" i="4" s="1"/>
  <c r="U30" i="4"/>
  <c r="AE30" i="4" s="1"/>
  <c r="U31" i="4"/>
  <c r="AE31" i="4" s="1"/>
  <c r="U32" i="4"/>
  <c r="U33" i="4"/>
  <c r="AE33" i="4" s="1"/>
  <c r="U34" i="4"/>
  <c r="Z34" i="4" s="1"/>
  <c r="U6" i="4"/>
  <c r="Z6" i="4" s="1"/>
  <c r="AE6" i="4" l="1"/>
  <c r="AE13" i="4"/>
  <c r="Z25" i="4"/>
  <c r="Z14" i="4"/>
  <c r="AE34" i="4"/>
  <c r="AE21" i="4"/>
  <c r="AE10" i="4"/>
  <c r="Z30" i="4"/>
  <c r="Z17" i="4"/>
  <c r="Z22" i="4"/>
  <c r="AE18" i="4"/>
  <c r="AE9" i="4"/>
  <c r="Z31" i="4"/>
  <c r="AE26" i="4"/>
  <c r="AE32" i="4"/>
  <c r="Z32" i="4"/>
  <c r="AE28" i="4"/>
  <c r="Z28" i="4"/>
  <c r="AE23" i="4"/>
  <c r="Z23" i="4"/>
  <c r="AE19" i="4"/>
  <c r="Z19" i="4"/>
  <c r="AE15" i="4"/>
  <c r="Z15" i="4"/>
  <c r="AE11" i="4"/>
  <c r="Z11" i="4"/>
  <c r="AE7" i="4"/>
  <c r="Z7" i="4"/>
  <c r="Z33" i="4"/>
  <c r="Z29" i="4"/>
  <c r="Z24" i="4"/>
  <c r="Z20" i="4"/>
  <c r="Z16" i="4"/>
  <c r="Z12" i="4"/>
  <c r="Z8" i="4"/>
  <c r="D12" i="4"/>
  <c r="E13" i="4"/>
  <c r="D13" i="4" s="1"/>
  <c r="E14" i="4"/>
  <c r="D14" i="4" s="1"/>
  <c r="E15" i="4"/>
  <c r="D15" i="4" s="1"/>
  <c r="E16" i="4"/>
  <c r="D16" i="4" s="1"/>
  <c r="AD11" i="4" l="1"/>
  <c r="AD12" i="4"/>
  <c r="AD13" i="4"/>
  <c r="AD14" i="4"/>
  <c r="AD15" i="4"/>
  <c r="AD16" i="4"/>
  <c r="AD17" i="4"/>
  <c r="AD18" i="4"/>
  <c r="AD19" i="4"/>
  <c r="AD21" i="4"/>
  <c r="Y11" i="4"/>
  <c r="Y12" i="4"/>
  <c r="Y13" i="4"/>
  <c r="Y14" i="4"/>
  <c r="Y15" i="4"/>
  <c r="Y16" i="4"/>
  <c r="Y17" i="4"/>
  <c r="Y18" i="4"/>
  <c r="Y19" i="4"/>
  <c r="Y21" i="4"/>
  <c r="AD7" i="4"/>
  <c r="T8" i="4"/>
  <c r="Y9" i="4"/>
  <c r="AA7" i="4"/>
  <c r="AA9" i="4"/>
  <c r="V11" i="4"/>
  <c r="AA12" i="4"/>
  <c r="V13" i="4"/>
  <c r="AA14" i="4"/>
  <c r="AA15" i="4"/>
  <c r="V16" i="4"/>
  <c r="V17" i="4"/>
  <c r="V18" i="4"/>
  <c r="AA19" i="4"/>
  <c r="AA20" i="4"/>
  <c r="AA21" i="4"/>
  <c r="AA22" i="4"/>
  <c r="V23" i="4"/>
  <c r="AA24" i="4"/>
  <c r="AA25" i="4"/>
  <c r="AA26" i="4"/>
  <c r="AA29" i="4"/>
  <c r="AA31" i="4"/>
  <c r="AA33" i="4"/>
  <c r="AC6" i="4"/>
  <c r="AA6" i="4"/>
  <c r="V9" i="4" l="1"/>
  <c r="AA32" i="4"/>
  <c r="V32" i="4"/>
  <c r="AA28" i="4"/>
  <c r="V28" i="4"/>
  <c r="AB31" i="4"/>
  <c r="W31" i="4"/>
  <c r="AB26" i="4"/>
  <c r="W26" i="4"/>
  <c r="AB22" i="4"/>
  <c r="W22" i="4"/>
  <c r="AB18" i="4"/>
  <c r="W18" i="4"/>
  <c r="AB14" i="4"/>
  <c r="W14" i="4"/>
  <c r="AB10" i="4"/>
  <c r="W10" i="4"/>
  <c r="AC34" i="4"/>
  <c r="X34" i="4"/>
  <c r="AC30" i="4"/>
  <c r="X30" i="4"/>
  <c r="AC25" i="4"/>
  <c r="X25" i="4"/>
  <c r="AC21" i="4"/>
  <c r="X21" i="4"/>
  <c r="AC17" i="4"/>
  <c r="X17" i="4"/>
  <c r="AC13" i="4"/>
  <c r="X13" i="4"/>
  <c r="AC9" i="4"/>
  <c r="X9" i="4"/>
  <c r="AD33" i="4"/>
  <c r="Y33" i="4"/>
  <c r="AD29" i="4"/>
  <c r="Y29" i="4"/>
  <c r="AD24" i="4"/>
  <c r="Y24" i="4"/>
  <c r="AD10" i="4"/>
  <c r="Y10" i="4"/>
  <c r="V26" i="4"/>
  <c r="W28" i="4"/>
  <c r="AB28" i="4"/>
  <c r="AB6" i="4"/>
  <c r="W6" i="4"/>
  <c r="AA8" i="4"/>
  <c r="V8" i="4"/>
  <c r="W32" i="4"/>
  <c r="AB32" i="4"/>
  <c r="W23" i="4"/>
  <c r="AB23" i="4"/>
  <c r="W19" i="4"/>
  <c r="AB19" i="4"/>
  <c r="W15" i="4"/>
  <c r="AB15" i="4"/>
  <c r="W11" i="4"/>
  <c r="AB11" i="4"/>
  <c r="W7" i="4"/>
  <c r="AB7" i="4"/>
  <c r="X31" i="4"/>
  <c r="AC31" i="4"/>
  <c r="X26" i="4"/>
  <c r="AC26" i="4"/>
  <c r="X22" i="4"/>
  <c r="AC22" i="4"/>
  <c r="X14" i="4"/>
  <c r="AC14" i="4"/>
  <c r="X10" i="4"/>
  <c r="AC10" i="4"/>
  <c r="Y34" i="4"/>
  <c r="AD34" i="4"/>
  <c r="Y30" i="4"/>
  <c r="AD30" i="4"/>
  <c r="Y25" i="4"/>
  <c r="AD25" i="4"/>
  <c r="AD20" i="4"/>
  <c r="Y20" i="4"/>
  <c r="V29" i="4"/>
  <c r="X6" i="4"/>
  <c r="AD6" i="4"/>
  <c r="Y6" i="4"/>
  <c r="AA10" i="4"/>
  <c r="V10" i="4"/>
  <c r="AB34" i="4"/>
  <c r="W34" i="4"/>
  <c r="AB30" i="4"/>
  <c r="W30" i="4"/>
  <c r="AB25" i="4"/>
  <c r="W25" i="4"/>
  <c r="AB21" i="4"/>
  <c r="W21" i="4"/>
  <c r="AB17" i="4"/>
  <c r="W17" i="4"/>
  <c r="AB13" i="4"/>
  <c r="W13" i="4"/>
  <c r="AB9" i="4"/>
  <c r="W9" i="4"/>
  <c r="AC33" i="4"/>
  <c r="X33" i="4"/>
  <c r="AC29" i="4"/>
  <c r="X29" i="4"/>
  <c r="AC24" i="4"/>
  <c r="X24" i="4"/>
  <c r="AC20" i="4"/>
  <c r="X20" i="4"/>
  <c r="AC16" i="4"/>
  <c r="X16" i="4"/>
  <c r="AC12" i="4"/>
  <c r="X12" i="4"/>
  <c r="AC8" i="4"/>
  <c r="X8" i="4"/>
  <c r="AD32" i="4"/>
  <c r="Y32" i="4"/>
  <c r="AD28" i="4"/>
  <c r="Y28" i="4"/>
  <c r="AD23" i="4"/>
  <c r="Y23" i="4"/>
  <c r="V33" i="4"/>
  <c r="AA34" i="4"/>
  <c r="V34" i="4"/>
  <c r="AA30" i="4"/>
  <c r="V30" i="4"/>
  <c r="AB33" i="4"/>
  <c r="W33" i="4"/>
  <c r="AB29" i="4"/>
  <c r="W29" i="4"/>
  <c r="AB24" i="4"/>
  <c r="W24" i="4"/>
  <c r="AB20" i="4"/>
  <c r="W20" i="4"/>
  <c r="AB16" i="4"/>
  <c r="W16" i="4"/>
  <c r="AB12" i="4"/>
  <c r="W12" i="4"/>
  <c r="AB8" i="4"/>
  <c r="W8" i="4"/>
  <c r="AC32" i="4"/>
  <c r="X32" i="4"/>
  <c r="AC28" i="4"/>
  <c r="X28" i="4"/>
  <c r="AC23" i="4"/>
  <c r="X23" i="4"/>
  <c r="AC19" i="4"/>
  <c r="X19" i="4"/>
  <c r="AC15" i="4"/>
  <c r="X15" i="4"/>
  <c r="AC11" i="4"/>
  <c r="X11" i="4"/>
  <c r="AC7" i="4"/>
  <c r="X7" i="4"/>
  <c r="AD31" i="4"/>
  <c r="Y31" i="4"/>
  <c r="AD26" i="4"/>
  <c r="Y26" i="4"/>
  <c r="AD22" i="4"/>
  <c r="Y22" i="4"/>
  <c r="AD8" i="4"/>
  <c r="Y8" i="4"/>
  <c r="V31" i="4"/>
  <c r="V7" i="4"/>
  <c r="X18" i="4"/>
  <c r="AC18" i="4"/>
  <c r="AD9" i="4"/>
  <c r="Y7" i="4"/>
  <c r="V14" i="4"/>
  <c r="AA17" i="4"/>
  <c r="AA18" i="4"/>
  <c r="V19" i="4"/>
  <c r="V24" i="4"/>
  <c r="V25" i="4"/>
  <c r="AA23" i="4"/>
  <c r="V22" i="4"/>
  <c r="V21" i="4"/>
  <c r="V20" i="4"/>
  <c r="AA16" i="4"/>
  <c r="V15" i="4"/>
  <c r="AA13" i="4"/>
  <c r="V12" i="4"/>
  <c r="AA11" i="4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8" i="4"/>
  <c r="K29" i="4"/>
  <c r="K30" i="4"/>
  <c r="K31" i="4"/>
  <c r="K32" i="4"/>
  <c r="K33" i="4"/>
  <c r="K34" i="4"/>
  <c r="J7" i="4"/>
  <c r="J8" i="4"/>
  <c r="J9" i="4"/>
  <c r="J10" i="4"/>
  <c r="J11" i="4"/>
  <c r="AJ11" i="4" s="1"/>
  <c r="AO11" i="4" s="1"/>
  <c r="J12" i="4"/>
  <c r="J13" i="4"/>
  <c r="J14" i="4"/>
  <c r="J15" i="4"/>
  <c r="AJ15" i="4" s="1"/>
  <c r="AO15" i="4" s="1"/>
  <c r="J16" i="4"/>
  <c r="J17" i="4"/>
  <c r="J18" i="4"/>
  <c r="J19" i="4"/>
  <c r="AJ19" i="4" s="1"/>
  <c r="AO19" i="4" s="1"/>
  <c r="J20" i="4"/>
  <c r="J21" i="4"/>
  <c r="J22" i="4"/>
  <c r="J23" i="4"/>
  <c r="AJ23" i="4" s="1"/>
  <c r="AO23" i="4" s="1"/>
  <c r="J24" i="4"/>
  <c r="J25" i="4"/>
  <c r="J26" i="4"/>
  <c r="J28" i="4"/>
  <c r="J29" i="4"/>
  <c r="J30" i="4"/>
  <c r="J31" i="4"/>
  <c r="J32" i="4"/>
  <c r="J33" i="4"/>
  <c r="J34" i="4"/>
  <c r="J6" i="4"/>
  <c r="K6" i="4"/>
  <c r="E18" i="4"/>
  <c r="D18" i="4" s="1"/>
  <c r="E19" i="4"/>
  <c r="D19" i="4" s="1"/>
  <c r="E20" i="4"/>
  <c r="D20" i="4" s="1"/>
  <c r="E21" i="4"/>
  <c r="D21" i="4" s="1"/>
  <c r="E22" i="4"/>
  <c r="D22" i="4" s="1"/>
  <c r="E23" i="4"/>
  <c r="D23" i="4" s="1"/>
  <c r="E24" i="4"/>
  <c r="D24" i="4" s="1"/>
  <c r="E25" i="4"/>
  <c r="D25" i="4" s="1"/>
  <c r="E26" i="4"/>
  <c r="D26" i="4" s="1"/>
  <c r="D28" i="4"/>
  <c r="D29" i="4"/>
  <c r="D30" i="4"/>
  <c r="D31" i="4"/>
  <c r="D32" i="4"/>
  <c r="D33" i="4"/>
  <c r="D34" i="4"/>
  <c r="E17" i="4"/>
  <c r="D17" i="4" s="1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6" i="1"/>
  <c r="AJ7" i="4" l="1"/>
  <c r="AO7" i="4" s="1"/>
  <c r="AJ33" i="4"/>
  <c r="AO33" i="4" s="1"/>
  <c r="AJ29" i="4"/>
  <c r="AO29" i="4" s="1"/>
  <c r="AJ24" i="4"/>
  <c r="AO24" i="4" s="1"/>
  <c r="AJ20" i="4"/>
  <c r="AO20" i="4" s="1"/>
  <c r="AJ16" i="4"/>
  <c r="AO16" i="4" s="1"/>
  <c r="AH32" i="4"/>
  <c r="AM32" i="4" s="1"/>
  <c r="AJ32" i="4"/>
  <c r="AO32" i="4" s="1"/>
  <c r="AI28" i="4"/>
  <c r="AN28" i="4" s="1"/>
  <c r="AJ28" i="4"/>
  <c r="AO28" i="4" s="1"/>
  <c r="AJ31" i="4"/>
  <c r="AO31" i="4" s="1"/>
  <c r="AJ22" i="4"/>
  <c r="AO22" i="4" s="1"/>
  <c r="AJ14" i="4"/>
  <c r="AO14" i="4" s="1"/>
  <c r="AJ34" i="4"/>
  <c r="AO34" i="4" s="1"/>
  <c r="AJ30" i="4"/>
  <c r="AO30" i="4" s="1"/>
  <c r="AJ25" i="4"/>
  <c r="AO25" i="4" s="1"/>
  <c r="AJ17" i="4"/>
  <c r="AO17" i="4" s="1"/>
  <c r="AJ13" i="4"/>
  <c r="AO13" i="4" s="1"/>
  <c r="AJ9" i="4"/>
  <c r="AO9" i="4" s="1"/>
  <c r="AF6" i="4"/>
  <c r="AK6" i="4" s="1"/>
  <c r="AJ6" i="4"/>
  <c r="AO6" i="4" s="1"/>
  <c r="AJ26" i="4"/>
  <c r="AO26" i="4" s="1"/>
  <c r="AJ18" i="4"/>
  <c r="AO18" i="4" s="1"/>
  <c r="AJ10" i="4"/>
  <c r="AO10" i="4" s="1"/>
  <c r="AI12" i="4"/>
  <c r="AN12" i="4" s="1"/>
  <c r="AJ12" i="4"/>
  <c r="AO12" i="4" s="1"/>
  <c r="AH8" i="4"/>
  <c r="AM8" i="4" s="1"/>
  <c r="AJ8" i="4"/>
  <c r="AO8" i="4" s="1"/>
  <c r="AJ21" i="4"/>
  <c r="AO21" i="4" s="1"/>
  <c r="AF7" i="4"/>
  <c r="AK7" i="4" s="1"/>
  <c r="AH34" i="4"/>
  <c r="AM34" i="4" s="1"/>
  <c r="AI33" i="4"/>
  <c r="AN33" i="4" s="1"/>
  <c r="AH31" i="4"/>
  <c r="AM31" i="4" s="1"/>
  <c r="AF30" i="4"/>
  <c r="AK30" i="4" s="1"/>
  <c r="AI29" i="4"/>
  <c r="AN29" i="4" s="1"/>
  <c r="AI26" i="4"/>
  <c r="AN26" i="4" s="1"/>
  <c r="AI25" i="4"/>
  <c r="AN25" i="4" s="1"/>
  <c r="AG24" i="4"/>
  <c r="AL24" i="4" s="1"/>
  <c r="AI23" i="4"/>
  <c r="AN23" i="4" s="1"/>
  <c r="AF22" i="4"/>
  <c r="AK22" i="4" s="1"/>
  <c r="AF21" i="4"/>
  <c r="AK21" i="4" s="1"/>
  <c r="AF20" i="4"/>
  <c r="AK20" i="4" s="1"/>
  <c r="AI18" i="4"/>
  <c r="AN18" i="4" s="1"/>
  <c r="AH17" i="4"/>
  <c r="AM17" i="4" s="1"/>
  <c r="AI16" i="4"/>
  <c r="AN16" i="4" s="1"/>
  <c r="AI14" i="4"/>
  <c r="AN14" i="4" s="1"/>
  <c r="AG10" i="4"/>
  <c r="AL10" i="4" s="1"/>
  <c r="AG9" i="4"/>
  <c r="AL9" i="4" s="1"/>
  <c r="AH7" i="4"/>
  <c r="AM7" i="4" s="1"/>
  <c r="AI19" i="4"/>
  <c r="AN19" i="4" s="1"/>
  <c r="AI15" i="4"/>
  <c r="AN15" i="4" s="1"/>
  <c r="AI11" i="4"/>
  <c r="AN11" i="4" s="1"/>
  <c r="AG28" i="4"/>
  <c r="AL28" i="4" s="1"/>
  <c r="AH26" i="4"/>
  <c r="AM26" i="4" s="1"/>
  <c r="AF29" i="4"/>
  <c r="AK29" i="4" s="1"/>
  <c r="AG16" i="4"/>
  <c r="AL16" i="4" s="1"/>
  <c r="AH11" i="4"/>
  <c r="AM11" i="4" s="1"/>
  <c r="AF17" i="4"/>
  <c r="AK17" i="4" s="1"/>
  <c r="AG31" i="4"/>
  <c r="AL31" i="4" s="1"/>
  <c r="AH25" i="4"/>
  <c r="AM25" i="4" s="1"/>
  <c r="AI10" i="4"/>
  <c r="AN10" i="4" s="1"/>
  <c r="AG30" i="4"/>
  <c r="AL30" i="4" s="1"/>
  <c r="AH24" i="4"/>
  <c r="AM24" i="4" s="1"/>
  <c r="AF33" i="4"/>
  <c r="AK33" i="4" s="1"/>
  <c r="AF23" i="4"/>
  <c r="AK23" i="4" s="1"/>
  <c r="AG32" i="4"/>
  <c r="AL32" i="4" s="1"/>
  <c r="AH22" i="4"/>
  <c r="AM22" i="4" s="1"/>
  <c r="AG29" i="4"/>
  <c r="AL29" i="4" s="1"/>
  <c r="AH23" i="4"/>
  <c r="AM23" i="4" s="1"/>
  <c r="AI8" i="4"/>
  <c r="AN8" i="4" s="1"/>
  <c r="AF28" i="4"/>
  <c r="AK28" i="4" s="1"/>
  <c r="AH30" i="4"/>
  <c r="AM30" i="4" s="1"/>
  <c r="AI24" i="4"/>
  <c r="AN24" i="4" s="1"/>
  <c r="AI6" i="4"/>
  <c r="AN6" i="4" s="1"/>
  <c r="AI32" i="4"/>
  <c r="AN32" i="4" s="1"/>
  <c r="AF24" i="4"/>
  <c r="AK24" i="4" s="1"/>
  <c r="AG23" i="4"/>
  <c r="AL23" i="4" s="1"/>
  <c r="AH14" i="4"/>
  <c r="AM14" i="4" s="1"/>
  <c r="AF34" i="4"/>
  <c r="AK34" i="4" s="1"/>
  <c r="AG8" i="4"/>
  <c r="AL8" i="4" s="1"/>
  <c r="AI31" i="4"/>
  <c r="AN31" i="4" s="1"/>
  <c r="AF25" i="4"/>
  <c r="AK25" i="4" s="1"/>
  <c r="AG22" i="4"/>
  <c r="AL22" i="4" s="1"/>
  <c r="AF8" i="4"/>
  <c r="AK8" i="4" s="1"/>
  <c r="AG21" i="4"/>
  <c r="AL21" i="4" s="1"/>
  <c r="AH16" i="4"/>
  <c r="AM16" i="4" s="1"/>
  <c r="AH18" i="4"/>
  <c r="AM18" i="4" s="1"/>
  <c r="AF16" i="4"/>
  <c r="AK16" i="4" s="1"/>
  <c r="AG19" i="4"/>
  <c r="AL19" i="4" s="1"/>
  <c r="AH10" i="4"/>
  <c r="AM10" i="4" s="1"/>
  <c r="AG20" i="4"/>
  <c r="AL20" i="4" s="1"/>
  <c r="AH15" i="4"/>
  <c r="AM15" i="4" s="1"/>
  <c r="AF19" i="4"/>
  <c r="AK19" i="4" s="1"/>
  <c r="AG26" i="4"/>
  <c r="AL26" i="4" s="1"/>
  <c r="AH21" i="4"/>
  <c r="AM21" i="4" s="1"/>
  <c r="AF26" i="4"/>
  <c r="AK26" i="4" s="1"/>
  <c r="AG34" i="4"/>
  <c r="AL34" i="4" s="1"/>
  <c r="AH29" i="4"/>
  <c r="AM29" i="4" s="1"/>
  <c r="AI21" i="4"/>
  <c r="AN21" i="4" s="1"/>
  <c r="AI17" i="4"/>
  <c r="AN17" i="4" s="1"/>
  <c r="AI13" i="4"/>
  <c r="AN13" i="4" s="1"/>
  <c r="AI9" i="4"/>
  <c r="AN9" i="4" s="1"/>
  <c r="AF9" i="4"/>
  <c r="AK9" i="4" s="1"/>
  <c r="AG15" i="4"/>
  <c r="AL15" i="4" s="1"/>
  <c r="AI34" i="4"/>
  <c r="AN34" i="4" s="1"/>
  <c r="AG33" i="4"/>
  <c r="AL33" i="4" s="1"/>
  <c r="AH28" i="4"/>
  <c r="AM28" i="4" s="1"/>
  <c r="AI22" i="4"/>
  <c r="AN22" i="4" s="1"/>
  <c r="AF12" i="4"/>
  <c r="AK12" i="4" s="1"/>
  <c r="AG14" i="4"/>
  <c r="AL14" i="4" s="1"/>
  <c r="AH9" i="4"/>
  <c r="AM9" i="4" s="1"/>
  <c r="AH6" i="4"/>
  <c r="AM6" i="4" s="1"/>
  <c r="AG13" i="4"/>
  <c r="AL13" i="4" s="1"/>
  <c r="AI7" i="4"/>
  <c r="AN7" i="4" s="1"/>
  <c r="AX9" i="4" s="1"/>
  <c r="AF11" i="4"/>
  <c r="AK11" i="4" s="1"/>
  <c r="AG11" i="4"/>
  <c r="AL11" i="4" s="1"/>
  <c r="AI30" i="4"/>
  <c r="AN30" i="4" s="1"/>
  <c r="AG12" i="4"/>
  <c r="AL12" i="4" s="1"/>
  <c r="AG18" i="4"/>
  <c r="AL18" i="4" s="1"/>
  <c r="AH13" i="4"/>
  <c r="AM13" i="4" s="1"/>
  <c r="AG6" i="4"/>
  <c r="AL6" i="4" s="1"/>
  <c r="AG25" i="4"/>
  <c r="AL25" i="4" s="1"/>
  <c r="AH20" i="4"/>
  <c r="AM20" i="4" s="1"/>
  <c r="AF31" i="4"/>
  <c r="AK31" i="4" s="1"/>
  <c r="AF13" i="4"/>
  <c r="AK13" i="4" s="1"/>
  <c r="AG7" i="4"/>
  <c r="AL7" i="4" s="1"/>
  <c r="AH19" i="4"/>
  <c r="AM19" i="4" s="1"/>
  <c r="AF32" i="4"/>
  <c r="AK32" i="4" s="1"/>
  <c r="AF10" i="4"/>
  <c r="AK10" i="4" s="1"/>
  <c r="AH33" i="4"/>
  <c r="AM33" i="4" s="1"/>
  <c r="AF18" i="4"/>
  <c r="AK18" i="4" s="1"/>
  <c r="AF15" i="4"/>
  <c r="AK15" i="4" s="1"/>
  <c r="AI20" i="4"/>
  <c r="AN20" i="4" s="1"/>
  <c r="AG17" i="4"/>
  <c r="AL17" i="4" s="1"/>
  <c r="AH12" i="4"/>
  <c r="AM12" i="4" s="1"/>
  <c r="AF14" i="4"/>
  <c r="AK14" i="4" s="1"/>
  <c r="AT31" i="4" l="1"/>
  <c r="AP27" i="4"/>
  <c r="AR27" i="4"/>
  <c r="AQ27" i="4"/>
  <c r="AT27" i="4"/>
  <c r="AS27" i="4"/>
  <c r="AQ18" i="4"/>
  <c r="AS18" i="4"/>
  <c r="AT18" i="4"/>
  <c r="AR18" i="4"/>
  <c r="AP37" i="4"/>
  <c r="AU37" i="4" s="1"/>
  <c r="AP36" i="4"/>
  <c r="AP35" i="4"/>
  <c r="AT37" i="4"/>
  <c r="AT36" i="4"/>
  <c r="AT35" i="4"/>
  <c r="AS35" i="4"/>
  <c r="AS36" i="4"/>
  <c r="AS37" i="4"/>
  <c r="AX37" i="4" s="1"/>
  <c r="AT13" i="4"/>
  <c r="AT16" i="4"/>
  <c r="AT17" i="4"/>
  <c r="AT14" i="4"/>
  <c r="AT15" i="4"/>
  <c r="AR36" i="4"/>
  <c r="AR35" i="4"/>
  <c r="AR37" i="4"/>
  <c r="AQ36" i="4"/>
  <c r="AQ35" i="4"/>
  <c r="AQ37" i="4"/>
  <c r="AV37" i="4" s="1"/>
  <c r="AT33" i="4"/>
  <c r="AY33" i="4" s="1"/>
  <c r="AT19" i="4"/>
  <c r="AT20" i="4"/>
  <c r="AY20" i="4" s="1"/>
  <c r="AT12" i="4"/>
  <c r="AT21" i="4"/>
  <c r="AT29" i="4"/>
  <c r="AT26" i="4"/>
  <c r="AY26" i="4" s="1"/>
  <c r="AT23" i="4"/>
  <c r="AT25" i="4"/>
  <c r="AT22" i="4"/>
  <c r="AT28" i="4"/>
  <c r="AT24" i="4"/>
  <c r="AR16" i="4"/>
  <c r="AR33" i="4"/>
  <c r="AW33" i="4" s="1"/>
  <c r="AR29" i="4"/>
  <c r="AR26" i="4"/>
  <c r="AW26" i="4" s="1"/>
  <c r="AR23" i="4"/>
  <c r="AR13" i="4"/>
  <c r="AW9" i="4"/>
  <c r="AR15" i="4"/>
  <c r="AR30" i="4"/>
  <c r="AW30" i="4" s="1"/>
  <c r="AR25" i="4"/>
  <c r="AR17" i="4"/>
  <c r="AY9" i="4"/>
  <c r="AT30" i="4"/>
  <c r="AY30" i="4" s="1"/>
  <c r="AT32" i="4"/>
  <c r="AR14" i="4"/>
  <c r="AR31" i="4"/>
  <c r="AR12" i="4"/>
  <c r="AR19" i="4"/>
  <c r="AR20" i="4"/>
  <c r="AW20" i="4" s="1"/>
  <c r="AR28" i="4"/>
  <c r="AR21" i="4"/>
  <c r="AR22" i="4"/>
  <c r="AR24" i="4"/>
  <c r="AR34" i="4"/>
  <c r="AT34" i="4"/>
  <c r="AR32" i="4"/>
  <c r="AV9" i="4"/>
  <c r="AU9" i="4"/>
  <c r="AS15" i="4"/>
  <c r="AS19" i="4"/>
  <c r="AS23" i="4"/>
  <c r="AS28" i="4"/>
  <c r="AS32" i="4"/>
  <c r="AS13" i="4"/>
  <c r="AS26" i="4"/>
  <c r="AX26" i="4" s="1"/>
  <c r="AS16" i="4"/>
  <c r="AS20" i="4"/>
  <c r="AX20" i="4" s="1"/>
  <c r="AS24" i="4"/>
  <c r="AS29" i="4"/>
  <c r="AS33" i="4"/>
  <c r="AX33" i="4" s="1"/>
  <c r="AS14" i="4"/>
  <c r="AS22" i="4"/>
  <c r="AS12" i="4"/>
  <c r="AS17" i="4"/>
  <c r="AS21" i="4"/>
  <c r="AS25" i="4"/>
  <c r="AS30" i="4"/>
  <c r="AX30" i="4" s="1"/>
  <c r="AS34" i="4"/>
  <c r="AS31" i="4"/>
  <c r="AQ15" i="4"/>
  <c r="AQ19" i="4"/>
  <c r="AQ23" i="4"/>
  <c r="AQ28" i="4"/>
  <c r="AQ32" i="4"/>
  <c r="AQ13" i="4"/>
  <c r="AQ26" i="4"/>
  <c r="AV26" i="4" s="1"/>
  <c r="AQ16" i="4"/>
  <c r="AQ20" i="4"/>
  <c r="AV20" i="4" s="1"/>
  <c r="AQ24" i="4"/>
  <c r="AQ29" i="4"/>
  <c r="AQ33" i="4"/>
  <c r="AV33" i="4" s="1"/>
  <c r="AQ14" i="4"/>
  <c r="AQ31" i="4"/>
  <c r="AQ17" i="4"/>
  <c r="AQ21" i="4"/>
  <c r="AQ25" i="4"/>
  <c r="AQ30" i="4"/>
  <c r="AV30" i="4" s="1"/>
  <c r="AQ34" i="4"/>
  <c r="AQ22" i="4"/>
  <c r="AQ12" i="4"/>
  <c r="AP14" i="4"/>
  <c r="AP12" i="4"/>
  <c r="AP13" i="4"/>
  <c r="AP15" i="4"/>
  <c r="AP32" i="4"/>
  <c r="AP30" i="4"/>
  <c r="AU30" i="4" s="1"/>
  <c r="AP31" i="4"/>
  <c r="AP26" i="4"/>
  <c r="AU26" i="4" s="1"/>
  <c r="AP16" i="4"/>
  <c r="AP23" i="4"/>
  <c r="AP20" i="4"/>
  <c r="AU20" i="4" s="1"/>
  <c r="AP18" i="4"/>
  <c r="AP34" i="4"/>
  <c r="AP24" i="4"/>
  <c r="AP33" i="4"/>
  <c r="AU33" i="4" s="1"/>
  <c r="AP21" i="4"/>
  <c r="AP22" i="4"/>
  <c r="AP25" i="4"/>
  <c r="AP28" i="4"/>
  <c r="AP29" i="4"/>
  <c r="AP19" i="4"/>
  <c r="AP17" i="4"/>
  <c r="AU34" i="4" l="1"/>
  <c r="AU36" i="4"/>
  <c r="AU35" i="4"/>
  <c r="AU22" i="4"/>
  <c r="AU21" i="4"/>
  <c r="AU25" i="4"/>
  <c r="AU23" i="4"/>
  <c r="AU24" i="4"/>
  <c r="AV36" i="4"/>
  <c r="AV35" i="4"/>
  <c r="AV34" i="4"/>
  <c r="AX18" i="4"/>
  <c r="AX25" i="4"/>
  <c r="AX24" i="4"/>
  <c r="AX22" i="4"/>
  <c r="AX21" i="4"/>
  <c r="AX23" i="4"/>
  <c r="AY28" i="4"/>
  <c r="AY32" i="4"/>
  <c r="AY31" i="4"/>
  <c r="AW32" i="4"/>
  <c r="AW31" i="4"/>
  <c r="AU28" i="4"/>
  <c r="AU27" i="4"/>
  <c r="AZ27" i="4" s="1"/>
  <c r="AU29" i="4"/>
  <c r="AV28" i="4"/>
  <c r="AV29" i="4"/>
  <c r="BA29" i="4" s="1"/>
  <c r="AV27" i="4"/>
  <c r="AX35" i="4"/>
  <c r="AX34" i="4"/>
  <c r="AX36" i="4"/>
  <c r="BC36" i="4" s="1"/>
  <c r="AW27" i="4"/>
  <c r="BB27" i="4" s="1"/>
  <c r="AW28" i="4"/>
  <c r="AW29" i="4"/>
  <c r="AV23" i="4"/>
  <c r="BA23" i="4" s="1"/>
  <c r="AV22" i="4"/>
  <c r="AV21" i="4"/>
  <c r="AV24" i="4"/>
  <c r="AV25" i="4"/>
  <c r="BA25" i="4" s="1"/>
  <c r="AX31" i="4"/>
  <c r="AX32" i="4"/>
  <c r="AX27" i="4"/>
  <c r="BC27" i="4" s="1"/>
  <c r="AX29" i="4"/>
  <c r="AX28" i="4"/>
  <c r="AW24" i="4"/>
  <c r="AW23" i="4"/>
  <c r="AW25" i="4"/>
  <c r="AW22" i="4"/>
  <c r="AW21" i="4"/>
  <c r="AY22" i="4"/>
  <c r="AY29" i="4"/>
  <c r="AY27" i="4"/>
  <c r="BD27" i="4" s="1"/>
  <c r="AY25" i="4"/>
  <c r="AY23" i="4"/>
  <c r="AY21" i="4"/>
  <c r="AY24" i="4"/>
  <c r="BA27" i="4"/>
  <c r="AX13" i="4"/>
  <c r="AX17" i="4"/>
  <c r="AX15" i="4"/>
  <c r="AX19" i="4"/>
  <c r="BA24" i="4"/>
  <c r="BA30" i="4"/>
  <c r="BA28" i="4"/>
  <c r="BA26" i="4"/>
  <c r="BD30" i="4"/>
  <c r="AX16" i="4"/>
  <c r="AX12" i="4"/>
  <c r="BC12" i="4" s="1"/>
  <c r="AX14" i="4"/>
  <c r="AV14" i="4"/>
  <c r="AV15" i="4"/>
  <c r="AV16" i="4"/>
  <c r="BA16" i="4" s="1"/>
  <c r="AV13" i="4"/>
  <c r="AV18" i="4"/>
  <c r="AV19" i="4"/>
  <c r="AV12" i="4"/>
  <c r="AV17" i="4"/>
  <c r="AY18" i="4"/>
  <c r="BD18" i="4" s="1"/>
  <c r="AY19" i="4"/>
  <c r="BD19" i="4" s="1"/>
  <c r="AY12" i="4"/>
  <c r="AY17" i="4"/>
  <c r="AY14" i="4"/>
  <c r="AY15" i="4"/>
  <c r="AY16" i="4"/>
  <c r="AY13" i="4"/>
  <c r="AW19" i="4"/>
  <c r="AW12" i="4"/>
  <c r="AW17" i="4"/>
  <c r="BB17" i="4" s="1"/>
  <c r="AW14" i="4"/>
  <c r="AW15" i="4"/>
  <c r="AW16" i="4"/>
  <c r="AW13" i="4"/>
  <c r="AW18" i="4"/>
  <c r="AW37" i="4"/>
  <c r="BB37" i="4" s="1"/>
  <c r="AY37" i="4"/>
  <c r="BD37" i="4" s="1"/>
  <c r="BA37" i="4"/>
  <c r="BA34" i="4"/>
  <c r="AY35" i="4" l="1"/>
  <c r="AW34" i="4"/>
  <c r="BB34" i="4" s="1"/>
  <c r="AY34" i="4"/>
  <c r="AW36" i="4"/>
  <c r="BB36" i="4" s="1"/>
  <c r="AW35" i="4"/>
  <c r="AY36" i="4"/>
  <c r="BB33" i="4"/>
  <c r="BB32" i="4"/>
  <c r="BD33" i="4"/>
  <c r="BD21" i="4"/>
  <c r="BD20" i="4"/>
  <c r="BD23" i="4"/>
  <c r="BB15" i="4"/>
  <c r="BB18" i="4"/>
  <c r="BB20" i="4"/>
  <c r="BB24" i="4"/>
  <c r="BB21" i="4"/>
  <c r="BB19" i="4"/>
  <c r="BB22" i="4"/>
  <c r="BB23" i="4"/>
  <c r="BB12" i="4"/>
  <c r="BB13" i="4"/>
  <c r="BB31" i="4"/>
  <c r="BB29" i="4"/>
  <c r="BB26" i="4"/>
  <c r="BB28" i="4"/>
  <c r="BB14" i="4"/>
  <c r="BB35" i="4"/>
  <c r="BB30" i="4"/>
  <c r="BB25" i="4"/>
  <c r="BB16" i="4"/>
  <c r="BD35" i="4"/>
  <c r="BD36" i="4"/>
  <c r="BD26" i="4"/>
  <c r="BD28" i="4"/>
  <c r="BD29" i="4"/>
  <c r="BD34" i="4"/>
  <c r="BD25" i="4"/>
  <c r="BD22" i="4"/>
  <c r="BD24" i="4"/>
  <c r="BD32" i="4"/>
  <c r="BC37" i="4"/>
  <c r="BC35" i="4"/>
  <c r="BA36" i="4"/>
  <c r="BA35" i="4"/>
  <c r="BC13" i="4"/>
  <c r="BA15" i="4"/>
  <c r="BC16" i="4"/>
  <c r="BA14" i="4"/>
  <c r="BA13" i="4"/>
  <c r="BA12" i="4"/>
  <c r="BC30" i="4"/>
  <c r="BC15" i="4"/>
  <c r="BA21" i="4"/>
  <c r="BA19" i="4"/>
  <c r="BA17" i="4"/>
  <c r="BA18" i="4"/>
  <c r="BA22" i="4"/>
  <c r="BA20" i="4"/>
  <c r="BC20" i="4"/>
  <c r="BC21" i="4"/>
  <c r="BC19" i="4"/>
  <c r="BC18" i="4"/>
  <c r="BC22" i="4"/>
  <c r="BC17" i="4"/>
  <c r="BC14" i="4"/>
  <c r="BC26" i="4"/>
  <c r="BC33" i="4"/>
  <c r="BC24" i="4"/>
  <c r="BC25" i="4"/>
  <c r="BC28" i="4"/>
  <c r="BC23" i="4"/>
  <c r="BC29" i="4"/>
  <c r="BC34" i="4"/>
  <c r="BC32" i="4"/>
  <c r="BC31" i="4"/>
  <c r="AZ30" i="4" l="1"/>
  <c r="AZ25" i="4"/>
  <c r="AZ37" i="4" l="1"/>
  <c r="BD13" i="4" l="1"/>
  <c r="BD16" i="4"/>
  <c r="BD12" i="4"/>
  <c r="BD17" i="4"/>
  <c r="BD15" i="4"/>
  <c r="BD14" i="4"/>
  <c r="AZ26" i="4"/>
  <c r="AZ28" i="4"/>
  <c r="AZ29" i="4"/>
  <c r="BD31" i="4"/>
  <c r="AZ20" i="4" l="1"/>
  <c r="AZ24" i="4"/>
  <c r="AU17" i="4"/>
  <c r="AZ17" i="4" s="1"/>
  <c r="AU12" i="4"/>
  <c r="AZ12" i="4" s="1"/>
  <c r="AU19" i="4"/>
  <c r="AZ19" i="4" s="1"/>
  <c r="AZ22" i="4"/>
  <c r="AU16" i="4"/>
  <c r="AZ16" i="4" s="1"/>
  <c r="AU15" i="4"/>
  <c r="AZ15" i="4" s="1"/>
  <c r="AU13" i="4"/>
  <c r="AZ13" i="4" s="1"/>
  <c r="AU14" i="4"/>
  <c r="AZ14" i="4" s="1"/>
  <c r="AU18" i="4"/>
  <c r="AZ18" i="4" s="1"/>
  <c r="AZ21" i="4"/>
  <c r="AZ23" i="4" l="1"/>
  <c r="AZ33" i="4" l="1"/>
  <c r="AU31" i="4"/>
  <c r="AZ31" i="4" s="1"/>
  <c r="AU32" i="4"/>
  <c r="AZ32" i="4" s="1"/>
  <c r="BA33" i="4"/>
  <c r="AV31" i="4"/>
  <c r="BA31" i="4" s="1"/>
  <c r="AV32" i="4"/>
  <c r="BA32" i="4" s="1"/>
  <c r="AZ34" i="4"/>
  <c r="AZ35" i="4"/>
  <c r="AZ36" i="4"/>
</calcChain>
</file>

<file path=xl/sharedStrings.xml><?xml version="1.0" encoding="utf-8"?>
<sst xmlns="http://schemas.openxmlformats.org/spreadsheetml/2006/main" count="462" uniqueCount="123">
  <si>
    <t>Vial 29.gcd</t>
  </si>
  <si>
    <t>-----</t>
  </si>
  <si>
    <t>Vial 30.gcd</t>
  </si>
  <si>
    <t>Vial 31.gcd</t>
  </si>
  <si>
    <t>Vial 32.gcd</t>
  </si>
  <si>
    <t>Vial 33.gcd</t>
  </si>
  <si>
    <t>Vial 34.gcd</t>
  </si>
  <si>
    <t>Vial 35.gcd</t>
  </si>
  <si>
    <t>Vial 36.gcd</t>
  </si>
  <si>
    <t>Vial 37.gcd</t>
  </si>
  <si>
    <t>Vial 38.gcd</t>
  </si>
  <si>
    <t>Vial 39.gcd</t>
  </si>
  <si>
    <t>Vial 40.gcd</t>
  </si>
  <si>
    <t>Vial 41.gcd</t>
  </si>
  <si>
    <t>Vial 42.gcd</t>
  </si>
  <si>
    <t>Vial 43.gcd</t>
  </si>
  <si>
    <t>Vial 44.gcd</t>
  </si>
  <si>
    <t>Vial 45.gcd</t>
  </si>
  <si>
    <t>Vial 46.gcd</t>
  </si>
  <si>
    <t>Vial 47.gcd</t>
  </si>
  <si>
    <t>Vial 48.gcd</t>
  </si>
  <si>
    <t>Vial 49.gcd</t>
  </si>
  <si>
    <t>Vial 50.gcd</t>
  </si>
  <si>
    <t>Vial 51.gcd</t>
  </si>
  <si>
    <t>Vial 52.gcd</t>
  </si>
  <si>
    <t>Vial 53.gcd</t>
  </si>
  <si>
    <t>Vial 54.gcd</t>
  </si>
  <si>
    <t>Vial 55.gcd</t>
  </si>
  <si>
    <t>Vial 56.gcd</t>
  </si>
  <si>
    <t>Vial 57.gcd</t>
  </si>
  <si>
    <t>Vial 58.gcd</t>
  </si>
  <si>
    <t>Vial 59.gcd</t>
  </si>
  <si>
    <t>Vial 60.gcd</t>
  </si>
  <si>
    <t>Data Filename</t>
  </si>
  <si>
    <t>Area</t>
  </si>
  <si>
    <t>Ethane</t>
  </si>
  <si>
    <t>SF6</t>
  </si>
  <si>
    <t>N2O</t>
  </si>
  <si>
    <t>Helium</t>
  </si>
  <si>
    <t>Description</t>
  </si>
  <si>
    <t>Tracer Sol 1</t>
  </si>
  <si>
    <t>Tracer Sol 2</t>
  </si>
  <si>
    <t>Tracer Sol 3</t>
  </si>
  <si>
    <t>Tracer Sol 4</t>
  </si>
  <si>
    <t>Tracer Sol 5</t>
  </si>
  <si>
    <t>Tracer Sol 6</t>
  </si>
  <si>
    <t>Tracer Sol 7</t>
  </si>
  <si>
    <t>Tracer Sol 8</t>
  </si>
  <si>
    <t>Port 2D</t>
  </si>
  <si>
    <t>Port 1C</t>
  </si>
  <si>
    <t>Port 3B</t>
  </si>
  <si>
    <t>Eff 3 T1</t>
  </si>
  <si>
    <t>Eff 3 T2</t>
  </si>
  <si>
    <t>Eff 3 T3</t>
  </si>
  <si>
    <t>Eff 3 T4</t>
  </si>
  <si>
    <t>Eff 3 T5</t>
  </si>
  <si>
    <t>Eff 3 T6</t>
  </si>
  <si>
    <t>Eff 3 T7</t>
  </si>
  <si>
    <t>Port 2C</t>
  </si>
  <si>
    <t>Eff 3 T8</t>
  </si>
  <si>
    <t>Eff 3 T9</t>
  </si>
  <si>
    <t>Eff 3 T10</t>
  </si>
  <si>
    <t>Eff 3 T11</t>
  </si>
  <si>
    <t>Eff 3 T12</t>
  </si>
  <si>
    <t>Eff 3 T13</t>
  </si>
  <si>
    <t>Eff 3 T14</t>
  </si>
  <si>
    <t>Eff 3 T15</t>
  </si>
  <si>
    <t>Eff 3 T16</t>
  </si>
  <si>
    <t>Eff 3 T17</t>
  </si>
  <si>
    <t>Time</t>
  </si>
  <si>
    <t>Timepoint</t>
  </si>
  <si>
    <t>Timepoint (min)</t>
  </si>
  <si>
    <t>Peak Areas</t>
  </si>
  <si>
    <t>Empty Vial (g)</t>
  </si>
  <si>
    <t>Vial &amp; Sample (g)</t>
  </si>
  <si>
    <t>Vial &amp; Displaced Sample (g)</t>
  </si>
  <si>
    <t>Headspace Volume (mL)</t>
  </si>
  <si>
    <t>Aqueous Volume (mL)</t>
  </si>
  <si>
    <t>Nitrous Oxide</t>
  </si>
  <si>
    <t>Sulfur Hexafluoride</t>
  </si>
  <si>
    <t>Headspace Gas Concentration (mg/L) [Assuming headspace is N2]</t>
  </si>
  <si>
    <t>Partitioned Aqueous Concentrations (mg/L) [Henry's Law Gas Conversion Sheet]</t>
  </si>
  <si>
    <t>Total Mass in Vial (mg)</t>
  </si>
  <si>
    <t>Initial Concentration Prior to Equilibrium (mg/L)</t>
  </si>
  <si>
    <t>Zeroed Concentrations (mg/L)</t>
  </si>
  <si>
    <t>Corrected Tracer Solution (mg/L)</t>
  </si>
  <si>
    <t>Normalized Concentrations</t>
  </si>
  <si>
    <t>Bromide</t>
  </si>
  <si>
    <t>Normalized C/C0</t>
  </si>
  <si>
    <t>Vial 1.gcd</t>
  </si>
  <si>
    <t>Vial 2.gcd</t>
  </si>
  <si>
    <t>Vial 3.gcd</t>
  </si>
  <si>
    <t>Vial 4.gcd</t>
  </si>
  <si>
    <t>Vial 5.gcd</t>
  </si>
  <si>
    <t>Vial 6.gcd</t>
  </si>
  <si>
    <t>Vial 7.gcd</t>
  </si>
  <si>
    <t>Vial 8.gcd</t>
  </si>
  <si>
    <t>Vial 9.gcd</t>
  </si>
  <si>
    <t>Vial 10.gcd</t>
  </si>
  <si>
    <t>Vial 11.gcd</t>
  </si>
  <si>
    <t>Vial 12.gcd</t>
  </si>
  <si>
    <t>Vial 13.gcd</t>
  </si>
  <si>
    <t>Vial 14.gcd</t>
  </si>
  <si>
    <t>Vial 15.gcd</t>
  </si>
  <si>
    <t>Vial 16.gcd</t>
  </si>
  <si>
    <t>Vial 17.gcd</t>
  </si>
  <si>
    <t>Vial 18.gcd</t>
  </si>
  <si>
    <t>Vial 19.gcd</t>
  </si>
  <si>
    <t>Vial 20.gcd</t>
  </si>
  <si>
    <t>Vial 21.gcd</t>
  </si>
  <si>
    <t>Vial 22.gcd</t>
  </si>
  <si>
    <t>Vial 23.gcd</t>
  </si>
  <si>
    <t>Vial 24.gcd</t>
  </si>
  <si>
    <t>Vial 25.gcd</t>
  </si>
  <si>
    <t>Vial 26.gcd</t>
  </si>
  <si>
    <t>Vial 27.gcd</t>
  </si>
  <si>
    <t>Vial 28.gcd</t>
  </si>
  <si>
    <t>Eff 3</t>
  </si>
  <si>
    <t>Methane</t>
  </si>
  <si>
    <t>Concentration [ppmv] (From Sanam Cal Curves) and Dec 19, 2017</t>
  </si>
  <si>
    <t>Check</t>
  </si>
  <si>
    <t>Port 3C</t>
  </si>
  <si>
    <t>Port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</si>
</sst>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3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0" fillId="0" borderId="0" xfId="0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Ethane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Samples'!$D$21:$D$25,'Aqueous Samples'!$D$27:$D$29,'Aqueous Samples'!$D$31:$D$32,'Aqueous Samples'!$D$35:$D$36)</c:f>
              <c:numCache>
                <c:formatCode>0</c:formatCode>
                <c:ptCount val="20"/>
                <c:pt idx="0">
                  <c:v>0.99999999999991651</c:v>
                </c:pt>
                <c:pt idx="1">
                  <c:v>21.999999999999922</c:v>
                </c:pt>
                <c:pt idx="2">
                  <c:v>41.000000000000014</c:v>
                </c:pt>
                <c:pt idx="3">
                  <c:v>62.000000000000021</c:v>
                </c:pt>
                <c:pt idx="4">
                  <c:v>81.999999999999943</c:v>
                </c:pt>
                <c:pt idx="5">
                  <c:v>101.99999999999996</c:v>
                </c:pt>
                <c:pt idx="6">
                  <c:v>124.99999999999987</c:v>
                </c:pt>
                <c:pt idx="7">
                  <c:v>139.99999999999997</c:v>
                </c:pt>
                <c:pt idx="8">
                  <c:v>159.99999999999991</c:v>
                </c:pt>
                <c:pt idx="9">
                  <c:v>182</c:v>
                </c:pt>
                <c:pt idx="10">
                  <c:v>208.00000000000006</c:v>
                </c:pt>
                <c:pt idx="11">
                  <c:v>239.99999999999994</c:v>
                </c:pt>
                <c:pt idx="12">
                  <c:v>270</c:v>
                </c:pt>
                <c:pt idx="13">
                  <c:v>309</c:v>
                </c:pt>
                <c:pt idx="14">
                  <c:v>353.99999999999989</c:v>
                </c:pt>
                <c:pt idx="15">
                  <c:v>413</c:v>
                </c:pt>
                <c:pt idx="16">
                  <c:v>502</c:v>
                </c:pt>
                <c:pt idx="17">
                  <c:v>562.99999999999989</c:v>
                </c:pt>
                <c:pt idx="18">
                  <c:v>642</c:v>
                </c:pt>
                <c:pt idx="19">
                  <c:v>712</c:v>
                </c:pt>
              </c:numCache>
            </c:numRef>
          </c:xVal>
          <c:yVal>
            <c:numRef>
              <c:f>('Aqueous Samples'!$AZ$12:$AZ$19,'Aqueous Samples'!$AZ$21:$AZ$25,'Aqueous Samples'!$AZ$27:$AZ$29,'Aqueous Samples'!$AZ$31:$AZ$32,'Aqueous Samples'!$AZ$35:$AZ$36)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0.45872866957345065</c:v>
                </c:pt>
                <c:pt idx="5">
                  <c:v>0.64558785031698862</c:v>
                </c:pt>
                <c:pt idx="6">
                  <c:v>0.67013348478057422</c:v>
                </c:pt>
                <c:pt idx="7">
                  <c:v>0.73029932802382291</c:v>
                </c:pt>
                <c:pt idx="8">
                  <c:v>0.74196103146110937</c:v>
                </c:pt>
                <c:pt idx="9">
                  <c:v>0.85315536396012337</c:v>
                </c:pt>
                <c:pt idx="10">
                  <c:v>0.82293802802998772</c:v>
                </c:pt>
                <c:pt idx="11">
                  <c:v>0.88063747625853084</c:v>
                </c:pt>
                <c:pt idx="12">
                  <c:v>0.90352542393765656</c:v>
                </c:pt>
                <c:pt idx="13">
                  <c:v>0.93421482809115597</c:v>
                </c:pt>
                <c:pt idx="14">
                  <c:v>0.91214962359046925</c:v>
                </c:pt>
                <c:pt idx="15">
                  <c:v>0.87937081854418098</c:v>
                </c:pt>
                <c:pt idx="16">
                  <c:v>0.89592916594732985</c:v>
                </c:pt>
                <c:pt idx="17">
                  <c:v>0.90098422730712024</c:v>
                </c:pt>
                <c:pt idx="18">
                  <c:v>0.90125037910410033</c:v>
                </c:pt>
                <c:pt idx="19">
                  <c:v>0.86446972587728876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64E-4359-97F5-19E8C32220A9}"/>
            </c:ext>
          </c:extLst>
        </c:ser>
        <c:ser>
          <c:idx val="1"/>
          <c:order val="1"/>
          <c:tx>
            <c:v>Helium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('Aqueous Samples'!$D$12:$D$19,'Aqueous Samples'!$D$21:$D$25,'Aqueous Samples'!$D$27:$D$29,'Aqueous Samples'!$D$31:$D$32,'Aqueous Samples'!$D$35:$D$36)</c:f>
              <c:numCache>
                <c:formatCode>0</c:formatCode>
                <c:ptCount val="20"/>
                <c:pt idx="0">
                  <c:v>0.99999999999991651</c:v>
                </c:pt>
                <c:pt idx="1">
                  <c:v>21.999999999999922</c:v>
                </c:pt>
                <c:pt idx="2">
                  <c:v>41.000000000000014</c:v>
                </c:pt>
                <c:pt idx="3">
                  <c:v>62.000000000000021</c:v>
                </c:pt>
                <c:pt idx="4">
                  <c:v>81.999999999999943</c:v>
                </c:pt>
                <c:pt idx="5">
                  <c:v>101.99999999999996</c:v>
                </c:pt>
                <c:pt idx="6">
                  <c:v>124.99999999999987</c:v>
                </c:pt>
                <c:pt idx="7">
                  <c:v>139.99999999999997</c:v>
                </c:pt>
                <c:pt idx="8">
                  <c:v>159.99999999999991</c:v>
                </c:pt>
                <c:pt idx="9">
                  <c:v>182</c:v>
                </c:pt>
                <c:pt idx="10">
                  <c:v>208.00000000000006</c:v>
                </c:pt>
                <c:pt idx="11">
                  <c:v>239.99999999999994</c:v>
                </c:pt>
                <c:pt idx="12">
                  <c:v>270</c:v>
                </c:pt>
                <c:pt idx="13">
                  <c:v>309</c:v>
                </c:pt>
                <c:pt idx="14">
                  <c:v>353.99999999999989</c:v>
                </c:pt>
                <c:pt idx="15">
                  <c:v>413</c:v>
                </c:pt>
                <c:pt idx="16">
                  <c:v>502</c:v>
                </c:pt>
                <c:pt idx="17">
                  <c:v>562.99999999999989</c:v>
                </c:pt>
                <c:pt idx="18">
                  <c:v>642</c:v>
                </c:pt>
                <c:pt idx="19">
                  <c:v>712</c:v>
                </c:pt>
              </c:numCache>
            </c:numRef>
          </c:xVal>
          <c:yVal>
            <c:numRef>
              <c:f>('Aqueous Samples'!$BA$12:$BA$19,'Aqueous Samples'!$BA$21:$BA$25,'Aqueous Samples'!$BA$27:$BA$29,'Aqueous Samples'!$BA$31:$BA$32,'Aqueous Samples'!$BA$35:$BA$36)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0.12383079544043898</c:v>
                </c:pt>
                <c:pt idx="4">
                  <c:v>0.22107779060833815</c:v>
                </c:pt>
                <c:pt idx="5">
                  <c:v>0.39570698244626651</c:v>
                </c:pt>
                <c:pt idx="6">
                  <c:v>0.45339629690093414</c:v>
                </c:pt>
                <c:pt idx="7">
                  <c:v>0.48303627548701111</c:v>
                </c:pt>
                <c:pt idx="8">
                  <c:v>0.56106346266611329</c:v>
                </c:pt>
                <c:pt idx="9">
                  <c:v>0.66857883199055945</c:v>
                </c:pt>
                <c:pt idx="10">
                  <c:v>0.63641620351222083</c:v>
                </c:pt>
                <c:pt idx="11">
                  <c:v>0.69339474260892597</c:v>
                </c:pt>
                <c:pt idx="12">
                  <c:v>0.71255860353157385</c:v>
                </c:pt>
                <c:pt idx="13">
                  <c:v>0.7630182265557125</c:v>
                </c:pt>
                <c:pt idx="14">
                  <c:v>0.78232283728700991</c:v>
                </c:pt>
                <c:pt idx="15">
                  <c:v>0.83363937242831609</c:v>
                </c:pt>
                <c:pt idx="16">
                  <c:v>0.8778639965104913</c:v>
                </c:pt>
                <c:pt idx="17">
                  <c:v>0.86333371771018275</c:v>
                </c:pt>
                <c:pt idx="18">
                  <c:v>0.86355527537576682</c:v>
                </c:pt>
                <c:pt idx="19">
                  <c:v>0.84249404878828393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64E-4359-97F5-19E8C32220A9}"/>
            </c:ext>
          </c:extLst>
        </c:ser>
        <c:ser>
          <c:idx val="3"/>
          <c:order val="2"/>
          <c:tx>
            <c:v>Sulfur Hexafluoride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('Aqueous Samples'!$D$12:$D$19,'Aqueous Samples'!$D$21:$D$25,'Aqueous Samples'!$D$27:$D$29,'Aqueous Samples'!$D$31:$D$32,'Aqueous Samples'!$D$35:$D$36)</c:f>
              <c:numCache>
                <c:formatCode>0</c:formatCode>
                <c:ptCount val="20"/>
                <c:pt idx="0">
                  <c:v>0.99999999999991651</c:v>
                </c:pt>
                <c:pt idx="1">
                  <c:v>21.999999999999922</c:v>
                </c:pt>
                <c:pt idx="2">
                  <c:v>41.000000000000014</c:v>
                </c:pt>
                <c:pt idx="3">
                  <c:v>62.000000000000021</c:v>
                </c:pt>
                <c:pt idx="4">
                  <c:v>81.999999999999943</c:v>
                </c:pt>
                <c:pt idx="5">
                  <c:v>101.99999999999996</c:v>
                </c:pt>
                <c:pt idx="6">
                  <c:v>124.99999999999987</c:v>
                </c:pt>
                <c:pt idx="7">
                  <c:v>139.99999999999997</c:v>
                </c:pt>
                <c:pt idx="8">
                  <c:v>159.99999999999991</c:v>
                </c:pt>
                <c:pt idx="9">
                  <c:v>182</c:v>
                </c:pt>
                <c:pt idx="10">
                  <c:v>208.00000000000006</c:v>
                </c:pt>
                <c:pt idx="11">
                  <c:v>239.99999999999994</c:v>
                </c:pt>
                <c:pt idx="12">
                  <c:v>270</c:v>
                </c:pt>
                <c:pt idx="13">
                  <c:v>309</c:v>
                </c:pt>
                <c:pt idx="14">
                  <c:v>353.99999999999989</c:v>
                </c:pt>
                <c:pt idx="15">
                  <c:v>413</c:v>
                </c:pt>
                <c:pt idx="16">
                  <c:v>502</c:v>
                </c:pt>
                <c:pt idx="17">
                  <c:v>562.99999999999989</c:v>
                </c:pt>
                <c:pt idx="18">
                  <c:v>642</c:v>
                </c:pt>
                <c:pt idx="19">
                  <c:v>712</c:v>
                </c:pt>
              </c:numCache>
            </c:numRef>
          </c:xVal>
          <c:yVal>
            <c:numRef>
              <c:f>('Aqueous Samples'!$BC$12:$BC$19,'Aqueous Samples'!$BC$21:$BC$25,'Aqueous Samples'!$BC$27:$BC$29,'Aqueous Samples'!$BC$31:$BC$32,'Aqueous Samples'!$BC$35:$BC$36)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0.35469486106340509</c:v>
                </c:pt>
                <c:pt idx="4">
                  <c:v>0.50922049765243604</c:v>
                </c:pt>
                <c:pt idx="5">
                  <c:v>0.73841174716517477</c:v>
                </c:pt>
                <c:pt idx="6">
                  <c:v>0.7302578993500084</c:v>
                </c:pt>
                <c:pt idx="7">
                  <c:v>0.78166589719193713</c:v>
                </c:pt>
                <c:pt idx="8">
                  <c:v>0.79089679552505332</c:v>
                </c:pt>
                <c:pt idx="9">
                  <c:v>0.91149198167581469</c:v>
                </c:pt>
                <c:pt idx="10">
                  <c:v>0.85360452967675038</c:v>
                </c:pt>
                <c:pt idx="11">
                  <c:v>0.90585127770985041</c:v>
                </c:pt>
                <c:pt idx="12">
                  <c:v>0.92626168972678857</c:v>
                </c:pt>
                <c:pt idx="13">
                  <c:v>0.93779704529149555</c:v>
                </c:pt>
                <c:pt idx="14">
                  <c:v>0.92371547208678517</c:v>
                </c:pt>
                <c:pt idx="15">
                  <c:v>0.90655746090484224</c:v>
                </c:pt>
                <c:pt idx="16">
                  <c:v>0.92209362999052591</c:v>
                </c:pt>
                <c:pt idx="17">
                  <c:v>0.93080118090070829</c:v>
                </c:pt>
                <c:pt idx="18">
                  <c:v>0.89250425585921533</c:v>
                </c:pt>
                <c:pt idx="19">
                  <c:v>0.85888915371938312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64E-4359-97F5-19E8C32220A9}"/>
            </c:ext>
          </c:extLst>
        </c:ser>
        <c:ser>
          <c:idx val="2"/>
          <c:order val="3"/>
          <c:tx>
            <c:v>Bromide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('Aqueous Samples'!$BG$12:$BG$26,'Aqueous Samples'!$BG$28:$BG$36,'Aqueous Samples'!$BG$38:$BG$43,'Aqueous Samples'!$BG$45:$BG$47)</c:f>
              <c:numCache>
                <c:formatCode>0</c:formatCode>
                <c:ptCount val="33"/>
                <c:pt idx="0">
                  <c:v>0.99999999999991651</c:v>
                </c:pt>
                <c:pt idx="1">
                  <c:v>12</c:v>
                </c:pt>
                <c:pt idx="2">
                  <c:v>21.999999999999922</c:v>
                </c:pt>
                <c:pt idx="3">
                  <c:v>32</c:v>
                </c:pt>
                <c:pt idx="4">
                  <c:v>41.000000000000014</c:v>
                </c:pt>
                <c:pt idx="5">
                  <c:v>54</c:v>
                </c:pt>
                <c:pt idx="6">
                  <c:v>62.000000000000021</c:v>
                </c:pt>
                <c:pt idx="7">
                  <c:v>72</c:v>
                </c:pt>
                <c:pt idx="8">
                  <c:v>81.999999999999943</c:v>
                </c:pt>
                <c:pt idx="9">
                  <c:v>92</c:v>
                </c:pt>
                <c:pt idx="10">
                  <c:v>101.99999999999996</c:v>
                </c:pt>
                <c:pt idx="11">
                  <c:v>112</c:v>
                </c:pt>
                <c:pt idx="12">
                  <c:v>124.99999999999987</c:v>
                </c:pt>
                <c:pt idx="13">
                  <c:v>132</c:v>
                </c:pt>
                <c:pt idx="14">
                  <c:v>139.99999999999997</c:v>
                </c:pt>
                <c:pt idx="15">
                  <c:v>152</c:v>
                </c:pt>
                <c:pt idx="16">
                  <c:v>159.99999999999991</c:v>
                </c:pt>
                <c:pt idx="17">
                  <c:v>172</c:v>
                </c:pt>
                <c:pt idx="18">
                  <c:v>173</c:v>
                </c:pt>
                <c:pt idx="19">
                  <c:v>203</c:v>
                </c:pt>
                <c:pt idx="20">
                  <c:v>208.00000000000006</c:v>
                </c:pt>
                <c:pt idx="21">
                  <c:v>233</c:v>
                </c:pt>
                <c:pt idx="22">
                  <c:v>239.99999999999994</c:v>
                </c:pt>
                <c:pt idx="23">
                  <c:v>270</c:v>
                </c:pt>
                <c:pt idx="24">
                  <c:v>309</c:v>
                </c:pt>
                <c:pt idx="25">
                  <c:v>353.99999999999989</c:v>
                </c:pt>
                <c:pt idx="26">
                  <c:v>413</c:v>
                </c:pt>
                <c:pt idx="27">
                  <c:v>427.99999999999994</c:v>
                </c:pt>
                <c:pt idx="28">
                  <c:v>502</c:v>
                </c:pt>
                <c:pt idx="29">
                  <c:v>562.99999999999989</c:v>
                </c:pt>
                <c:pt idx="30">
                  <c:v>639</c:v>
                </c:pt>
                <c:pt idx="31">
                  <c:v>642</c:v>
                </c:pt>
                <c:pt idx="32">
                  <c:v>712</c:v>
                </c:pt>
              </c:numCache>
            </c:numRef>
          </c:xVal>
          <c:yVal>
            <c:numRef>
              <c:f>('Aqueous Samples'!$BH$12:$BH$26,'Aqueous Samples'!$BH$28:$BH$36,'Aqueous Samples'!$BH$38:$BH$43,'Aqueous Samples'!$BH$45:$BH$47)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8.1828948785127253E-2</c:v>
                </c:pt>
                <c:pt idx="4">
                  <c:v>0.18241036500017949</c:v>
                </c:pt>
                <c:pt idx="5">
                  <c:v>0.35252844273768091</c:v>
                </c:pt>
                <c:pt idx="6">
                  <c:v>0.48684635538168908</c:v>
                </c:pt>
                <c:pt idx="7">
                  <c:v>0.62466353228295601</c:v>
                </c:pt>
                <c:pt idx="8">
                  <c:v>0.74686860711337633</c:v>
                </c:pt>
                <c:pt idx="9">
                  <c:v>0.77432437282417543</c:v>
                </c:pt>
                <c:pt idx="10">
                  <c:v>0.86718946272834929</c:v>
                </c:pt>
                <c:pt idx="11">
                  <c:v>0.87634138463194922</c:v>
                </c:pt>
                <c:pt idx="12">
                  <c:v>0.94524997308258274</c:v>
                </c:pt>
                <c:pt idx="13">
                  <c:v>0.9132182464199835</c:v>
                </c:pt>
                <c:pt idx="14">
                  <c:v>0.94955675986074739</c:v>
                </c:pt>
                <c:pt idx="15">
                  <c:v>0.9573628108961707</c:v>
                </c:pt>
                <c:pt idx="16">
                  <c:v>0.97674335139791124</c:v>
                </c:pt>
                <c:pt idx="17">
                  <c:v>0.92210099414994806</c:v>
                </c:pt>
                <c:pt idx="18">
                  <c:v>0.93609805117898293</c:v>
                </c:pt>
                <c:pt idx="19">
                  <c:v>0.95305602411800616</c:v>
                </c:pt>
                <c:pt idx="20">
                  <c:v>0.960592900979794</c:v>
                </c:pt>
                <c:pt idx="21">
                  <c:v>0.97701252557154661</c:v>
                </c:pt>
                <c:pt idx="22">
                  <c:v>1.0068908588450634</c:v>
                </c:pt>
                <c:pt idx="23">
                  <c:v>0.97351326131428795</c:v>
                </c:pt>
                <c:pt idx="24">
                  <c:v>0.96516886193159412</c:v>
                </c:pt>
                <c:pt idx="25">
                  <c:v>0.98912536338513446</c:v>
                </c:pt>
                <c:pt idx="26">
                  <c:v>0.98078096400244064</c:v>
                </c:pt>
                <c:pt idx="27">
                  <c:v>1.0004306786778165</c:v>
                </c:pt>
                <c:pt idx="28">
                  <c:v>0.97943509313426413</c:v>
                </c:pt>
                <c:pt idx="29">
                  <c:v>0.97728169974518186</c:v>
                </c:pt>
                <c:pt idx="30">
                  <c:v>0.97620500305064073</c:v>
                </c:pt>
                <c:pt idx="31">
                  <c:v>0.96759142949431143</c:v>
                </c:pt>
                <c:pt idx="32">
                  <c:v>0.95763198506980585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1A-4589-870E-228A5020F1A8}"/>
            </c:ext>
          </c:extLst>
        </c:ser>
        <c:ser>
          <c:idx val="4"/>
          <c:order val="4"/>
          <c:tx>
            <c:v>Nitrous Oxide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('Aqueous Samples'!$D$12:$D$19,'Aqueous Samples'!$D$21:$D$25,'Aqueous Samples'!$D$27:$D$29,'Aqueous Samples'!$D$31:$D$32,'Aqueous Samples'!$D$35:$D$36)</c:f>
              <c:numCache>
                <c:formatCode>0</c:formatCode>
                <c:ptCount val="20"/>
                <c:pt idx="0">
                  <c:v>0.99999999999991651</c:v>
                </c:pt>
                <c:pt idx="1">
                  <c:v>21.999999999999922</c:v>
                </c:pt>
                <c:pt idx="2">
                  <c:v>41.000000000000014</c:v>
                </c:pt>
                <c:pt idx="3">
                  <c:v>62.000000000000021</c:v>
                </c:pt>
                <c:pt idx="4">
                  <c:v>81.999999999999943</c:v>
                </c:pt>
                <c:pt idx="5">
                  <c:v>101.99999999999996</c:v>
                </c:pt>
                <c:pt idx="6">
                  <c:v>124.99999999999987</c:v>
                </c:pt>
                <c:pt idx="7">
                  <c:v>139.99999999999997</c:v>
                </c:pt>
                <c:pt idx="8">
                  <c:v>159.99999999999991</c:v>
                </c:pt>
                <c:pt idx="9">
                  <c:v>182</c:v>
                </c:pt>
                <c:pt idx="10">
                  <c:v>208.00000000000006</c:v>
                </c:pt>
                <c:pt idx="11">
                  <c:v>239.99999999999994</c:v>
                </c:pt>
                <c:pt idx="12">
                  <c:v>270</c:v>
                </c:pt>
                <c:pt idx="13">
                  <c:v>309</c:v>
                </c:pt>
                <c:pt idx="14">
                  <c:v>353.99999999999989</c:v>
                </c:pt>
                <c:pt idx="15">
                  <c:v>413</c:v>
                </c:pt>
                <c:pt idx="16">
                  <c:v>502</c:v>
                </c:pt>
                <c:pt idx="17">
                  <c:v>562.99999999999989</c:v>
                </c:pt>
                <c:pt idx="18">
                  <c:v>642</c:v>
                </c:pt>
                <c:pt idx="19">
                  <c:v>712</c:v>
                </c:pt>
              </c:numCache>
            </c:numRef>
          </c:xVal>
          <c:yVal>
            <c:numRef>
              <c:f>('Aqueous Samples'!$BB$12:$BB$19,'Aqueous Samples'!$BB$21:$BB$25,'Aqueous Samples'!$BB$27:$BB$29,'Aqueous Samples'!$BB$31:$BB$32,'Aqueous Samples'!$BB$35:$BB$36)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9.4210013597085182E-2</c:v>
                </c:pt>
                <c:pt idx="3">
                  <c:v>0.42896103481801978</c:v>
                </c:pt>
                <c:pt idx="4">
                  <c:v>0.63512543040916325</c:v>
                </c:pt>
                <c:pt idx="5">
                  <c:v>0.8499849197220658</c:v>
                </c:pt>
                <c:pt idx="6">
                  <c:v>0.83721395633540696</c:v>
                </c:pt>
                <c:pt idx="7">
                  <c:v>0.89914167317802196</c:v>
                </c:pt>
                <c:pt idx="8">
                  <c:v>0.88379623277631914</c:v>
                </c:pt>
                <c:pt idx="9">
                  <c:v>1.0150059512840772</c:v>
                </c:pt>
                <c:pt idx="10">
                  <c:v>0.97312278341069813</c:v>
                </c:pt>
                <c:pt idx="11">
                  <c:v>0.99891309853185262</c:v>
                </c:pt>
                <c:pt idx="12">
                  <c:v>0.99668770723294176</c:v>
                </c:pt>
                <c:pt idx="13">
                  <c:v>1.0113499712789866</c:v>
                </c:pt>
                <c:pt idx="14">
                  <c:v>0.99085995441532615</c:v>
                </c:pt>
                <c:pt idx="15">
                  <c:v>0.95219903720684873</c:v>
                </c:pt>
                <c:pt idx="16">
                  <c:v>0.98269228922411189</c:v>
                </c:pt>
                <c:pt idx="17">
                  <c:v>0.9698578768306223</c:v>
                </c:pt>
                <c:pt idx="18">
                  <c:v>0.91756121581614192</c:v>
                </c:pt>
                <c:pt idx="19">
                  <c:v>0.90894287061044754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79B-B4F9-01F86D5B2418}"/>
            </c:ext>
          </c:extLst>
        </c:ser>
        <c:ser>
          <c:idx val="5"/>
          <c:order val="5"/>
          <c:tx>
            <c:v>Methane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('Aqueous Samples'!$D$12:$D$19,'Aqueous Samples'!$D$21:$D$25,'Aqueous Samples'!$D$27:$D$29,'Aqueous Samples'!$D$31:$D$32,'Aqueous Samples'!$D$35:$D$36)</c:f>
              <c:numCache>
                <c:formatCode>0</c:formatCode>
                <c:ptCount val="20"/>
                <c:pt idx="0">
                  <c:v>0.99999999999991651</c:v>
                </c:pt>
                <c:pt idx="1">
                  <c:v>21.999999999999922</c:v>
                </c:pt>
                <c:pt idx="2">
                  <c:v>41.000000000000014</c:v>
                </c:pt>
                <c:pt idx="3">
                  <c:v>62.000000000000021</c:v>
                </c:pt>
                <c:pt idx="4">
                  <c:v>81.999999999999943</c:v>
                </c:pt>
                <c:pt idx="5">
                  <c:v>101.99999999999996</c:v>
                </c:pt>
                <c:pt idx="6">
                  <c:v>124.99999999999987</c:v>
                </c:pt>
                <c:pt idx="7">
                  <c:v>139.99999999999997</c:v>
                </c:pt>
                <c:pt idx="8">
                  <c:v>159.99999999999991</c:v>
                </c:pt>
                <c:pt idx="9">
                  <c:v>182</c:v>
                </c:pt>
                <c:pt idx="10">
                  <c:v>208.00000000000006</c:v>
                </c:pt>
                <c:pt idx="11">
                  <c:v>239.99999999999994</c:v>
                </c:pt>
                <c:pt idx="12">
                  <c:v>270</c:v>
                </c:pt>
                <c:pt idx="13">
                  <c:v>309</c:v>
                </c:pt>
                <c:pt idx="14">
                  <c:v>353.99999999999989</c:v>
                </c:pt>
                <c:pt idx="15">
                  <c:v>413</c:v>
                </c:pt>
                <c:pt idx="16">
                  <c:v>502</c:v>
                </c:pt>
                <c:pt idx="17">
                  <c:v>562.99999999999989</c:v>
                </c:pt>
                <c:pt idx="18">
                  <c:v>642</c:v>
                </c:pt>
                <c:pt idx="19">
                  <c:v>712</c:v>
                </c:pt>
              </c:numCache>
            </c:numRef>
          </c:xVal>
          <c:yVal>
            <c:numRef>
              <c:f>('Aqueous Samples'!$BD$12:$BD$19,'Aqueous Samples'!$BD$21:$BD$25,'Aqueous Samples'!$BD$27:$BD$29,'Aqueous Samples'!$BD$31:$BD$32,'Aqueous Samples'!$BD$35:$BD$36)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5.1919397139369883E-2</c:v>
                </c:pt>
                <c:pt idx="3">
                  <c:v>0.26569531679396208</c:v>
                </c:pt>
                <c:pt idx="4">
                  <c:v>0.41880764877132243</c:v>
                </c:pt>
                <c:pt idx="5">
                  <c:v>0.62685959086711662</c:v>
                </c:pt>
                <c:pt idx="6">
                  <c:v>0.67115014622223435</c:v>
                </c:pt>
                <c:pt idx="7">
                  <c:v>0.73887884619541699</c:v>
                </c:pt>
                <c:pt idx="8">
                  <c:v>0.77034866279705205</c:v>
                </c:pt>
                <c:pt idx="9">
                  <c:v>0.87027951978289142</c:v>
                </c:pt>
                <c:pt idx="10">
                  <c:v>0.84794054612642655</c:v>
                </c:pt>
                <c:pt idx="11">
                  <c:v>0.90034595033736264</c:v>
                </c:pt>
                <c:pt idx="12">
                  <c:v>0.9100031488709035</c:v>
                </c:pt>
                <c:pt idx="13">
                  <c:v>0.94847537607602184</c:v>
                </c:pt>
                <c:pt idx="14">
                  <c:v>0.94097595757110364</c:v>
                </c:pt>
                <c:pt idx="15">
                  <c:v>0.93460388477947842</c:v>
                </c:pt>
                <c:pt idx="16">
                  <c:v>0.95270284718237264</c:v>
                </c:pt>
                <c:pt idx="17">
                  <c:v>0.94411132009327381</c:v>
                </c:pt>
                <c:pt idx="18">
                  <c:v>0.89375648847365696</c:v>
                </c:pt>
                <c:pt idx="19">
                  <c:v>0.89991229334725775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4-479B-B4F9-01F86D5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2504"/>
        <c:axId val="608744472"/>
        <c:extLst/>
      </c:scatterChart>
      <c:valAx>
        <c:axId val="60874250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4472"/>
        <c:crosses val="autoZero"/>
        <c:crossBetween val="midCat"/>
      </c:valAx>
      <c:valAx>
        <c:axId val="6087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0.99999999999991651</c:v>
                </c:pt>
                <c:pt idx="1">
                  <c:v>21.999999999999922</c:v>
                </c:pt>
                <c:pt idx="2">
                  <c:v>41.000000000000014</c:v>
                </c:pt>
                <c:pt idx="3">
                  <c:v>62.000000000000021</c:v>
                </c:pt>
                <c:pt idx="4">
                  <c:v>81.999999999999943</c:v>
                </c:pt>
                <c:pt idx="5">
                  <c:v>101.99999999999996</c:v>
                </c:pt>
                <c:pt idx="6">
                  <c:v>124.99999999999987</c:v>
                </c:pt>
                <c:pt idx="7">
                  <c:v>139.99999999999997</c:v>
                </c:pt>
                <c:pt idx="8">
                  <c:v>159.99999999999991</c:v>
                </c:pt>
                <c:pt idx="9">
                  <c:v>182</c:v>
                </c:pt>
                <c:pt idx="10">
                  <c:v>208.00000000000006</c:v>
                </c:pt>
                <c:pt idx="11">
                  <c:v>239.99999999999994</c:v>
                </c:pt>
                <c:pt idx="12">
                  <c:v>270</c:v>
                </c:pt>
                <c:pt idx="13">
                  <c:v>296.00000000000006</c:v>
                </c:pt>
                <c:pt idx="14">
                  <c:v>413</c:v>
                </c:pt>
                <c:pt idx="15">
                  <c:v>427.99999999999994</c:v>
                </c:pt>
                <c:pt idx="16">
                  <c:v>562.99999999999989</c:v>
                </c:pt>
                <c:pt idx="17">
                  <c:v>573</c:v>
                </c:pt>
                <c:pt idx="18">
                  <c:v>642</c:v>
                </c:pt>
                <c:pt idx="19">
                  <c:v>712</c:v>
                </c:pt>
              </c:numCache>
            </c:numRef>
          </c:xVal>
          <c:yVal>
            <c:numRef>
              <c:f>('Aqueous Samples'!$BB$12:$BB$19,'Aqueous Samples'!$BB$21:$BB$26,'Aqueous Samples'!$BB$29:$BB$30,'Aqueous Samples'!$BB$32:$BB$33,'Aqueous Samples'!$BB$35:$BB$36)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9.4210013597085182E-2</c:v>
                </c:pt>
                <c:pt idx="3">
                  <c:v>0.42896103481801978</c:v>
                </c:pt>
                <c:pt idx="4">
                  <c:v>0.63512543040916325</c:v>
                </c:pt>
                <c:pt idx="5">
                  <c:v>0.8499849197220658</c:v>
                </c:pt>
                <c:pt idx="6">
                  <c:v>0.83721395633540696</c:v>
                </c:pt>
                <c:pt idx="7">
                  <c:v>0.89914167317802196</c:v>
                </c:pt>
                <c:pt idx="8">
                  <c:v>0.88379623277631914</c:v>
                </c:pt>
                <c:pt idx="9">
                  <c:v>1.0150059512840772</c:v>
                </c:pt>
                <c:pt idx="10">
                  <c:v>0.97312278341069813</c:v>
                </c:pt>
                <c:pt idx="11">
                  <c:v>0.99891309853185262</c:v>
                </c:pt>
                <c:pt idx="12">
                  <c:v>0.99668770723294176</c:v>
                </c:pt>
                <c:pt idx="13">
                  <c:v>1</c:v>
                </c:pt>
                <c:pt idx="14">
                  <c:v>0.95219903720684873</c:v>
                </c:pt>
                <c:pt idx="15">
                  <c:v>1</c:v>
                </c:pt>
                <c:pt idx="16">
                  <c:v>0.9698578768306223</c:v>
                </c:pt>
                <c:pt idx="17">
                  <c:v>1</c:v>
                </c:pt>
                <c:pt idx="18">
                  <c:v>0.91756121581614192</c:v>
                </c:pt>
                <c:pt idx="19">
                  <c:v>0.90894287061044754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97-45E0-B172-6B97409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6264"/>
        <c:axId val="788927904"/>
      </c:scatterChart>
      <c:valAx>
        <c:axId val="788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7904"/>
        <c:crosses val="autoZero"/>
        <c:crossBetween val="midCat"/>
      </c:valAx>
      <c:valAx>
        <c:axId val="788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0.99999999999991651</c:v>
                </c:pt>
                <c:pt idx="1">
                  <c:v>21.999999999999922</c:v>
                </c:pt>
                <c:pt idx="2">
                  <c:v>41.000000000000014</c:v>
                </c:pt>
                <c:pt idx="3">
                  <c:v>62.000000000000021</c:v>
                </c:pt>
                <c:pt idx="4">
                  <c:v>81.999999999999943</c:v>
                </c:pt>
                <c:pt idx="5">
                  <c:v>101.99999999999996</c:v>
                </c:pt>
                <c:pt idx="6">
                  <c:v>124.99999999999987</c:v>
                </c:pt>
                <c:pt idx="7">
                  <c:v>139.99999999999997</c:v>
                </c:pt>
                <c:pt idx="8">
                  <c:v>159.99999999999991</c:v>
                </c:pt>
                <c:pt idx="9">
                  <c:v>182</c:v>
                </c:pt>
                <c:pt idx="10">
                  <c:v>208.00000000000006</c:v>
                </c:pt>
                <c:pt idx="11">
                  <c:v>239.99999999999994</c:v>
                </c:pt>
                <c:pt idx="12">
                  <c:v>270</c:v>
                </c:pt>
                <c:pt idx="13">
                  <c:v>296.00000000000006</c:v>
                </c:pt>
                <c:pt idx="14">
                  <c:v>413</c:v>
                </c:pt>
                <c:pt idx="15">
                  <c:v>427.99999999999994</c:v>
                </c:pt>
                <c:pt idx="16">
                  <c:v>562.99999999999989</c:v>
                </c:pt>
                <c:pt idx="17">
                  <c:v>573</c:v>
                </c:pt>
                <c:pt idx="18">
                  <c:v>642</c:v>
                </c:pt>
                <c:pt idx="19">
                  <c:v>712</c:v>
                </c:pt>
              </c:numCache>
            </c:numRef>
          </c:xVal>
          <c:yVal>
            <c:numRef>
              <c:f>('Aqueous Samples'!$BD$12:$BD$19,'Aqueous Samples'!$BD$21:$BD$26,'Aqueous Samples'!$BD$28:$BD$29,'Aqueous Samples'!$BD$30,'Aqueous Samples'!$BD$32:$BD$33,'Aqueous Samples'!$BD$35:$BD$36)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5.1919397139369883E-2</c:v>
                </c:pt>
                <c:pt idx="3">
                  <c:v>0.26569531679396208</c:v>
                </c:pt>
                <c:pt idx="4">
                  <c:v>0.41880764877132243</c:v>
                </c:pt>
                <c:pt idx="5">
                  <c:v>0.62685959086711662</c:v>
                </c:pt>
                <c:pt idx="6">
                  <c:v>0.67115014622223435</c:v>
                </c:pt>
                <c:pt idx="7">
                  <c:v>0.73887884619541699</c:v>
                </c:pt>
                <c:pt idx="8">
                  <c:v>0.77034866279705205</c:v>
                </c:pt>
                <c:pt idx="9">
                  <c:v>0.87027951978289142</c:v>
                </c:pt>
                <c:pt idx="10">
                  <c:v>0.84794054612642655</c:v>
                </c:pt>
                <c:pt idx="11">
                  <c:v>0.90034595033736264</c:v>
                </c:pt>
                <c:pt idx="12">
                  <c:v>0.9100031488709035</c:v>
                </c:pt>
                <c:pt idx="13">
                  <c:v>1</c:v>
                </c:pt>
                <c:pt idx="14">
                  <c:v>0.94097595757110364</c:v>
                </c:pt>
                <c:pt idx="15">
                  <c:v>0.93460388477947842</c:v>
                </c:pt>
                <c:pt idx="16">
                  <c:v>1</c:v>
                </c:pt>
                <c:pt idx="17">
                  <c:v>0.94411132009327381</c:v>
                </c:pt>
                <c:pt idx="18">
                  <c:v>1</c:v>
                </c:pt>
                <c:pt idx="19">
                  <c:v>0.89375648847365696</c:v>
                </c:pt>
                <c:pt idx="20">
                  <c:v>0.89991229334725775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D-4AFF-A4DA-CDF3CCE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53816"/>
        <c:axId val="792656440"/>
      </c:scatterChart>
      <c:valAx>
        <c:axId val="7926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6440"/>
        <c:crosses val="autoZero"/>
        <c:crossBetween val="midCat"/>
      </c:valAx>
      <c:valAx>
        <c:axId val="792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404812</xdr:colOff>
      <xdr:row>4</xdr:row>
      <xdr:rowOff>95249</xdr:rowOff>
    </xdr:from>
    <xdr:to>
      <xdr:col>75</xdr:col>
      <xdr:colOff>114300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8A91-262D-492B-8CBC-509B8DF6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114300</xdr:colOff>
      <xdr:row>33</xdr:row>
      <xdr:rowOff>147637</xdr:rowOff>
    </xdr:from>
    <xdr:to>
      <xdr:col>69</xdr:col>
      <xdr:colOff>419100</xdr:colOff>
      <xdr:row>48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6C956-C0A5-4A77-9153-E320BA39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171450</xdr:colOff>
      <xdr:row>33</xdr:row>
      <xdr:rowOff>128587</xdr:rowOff>
    </xdr:from>
    <xdr:to>
      <xdr:col>77</xdr:col>
      <xdr:colOff>476250</xdr:colOff>
      <xdr:row>48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F8246-A628-4162-ACAB-8A018D33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G5" sqref="G5:G36"/>
    </sheetView>
  </sheetViews>
  <sheetFormatPr defaultRowHeight="15" x14ac:dyDescent="0.25"/>
  <cols>
    <col min="2" max="6" width="17" customWidth="1"/>
  </cols>
  <sheetData>
    <row r="2" spans="2:7" x14ac:dyDescent="0.25">
      <c r="B2" t="s">
        <v>35</v>
      </c>
      <c r="F2" s="2">
        <v>0.47916666666666669</v>
      </c>
    </row>
    <row r="4" spans="2:7" x14ac:dyDescent="0.25">
      <c r="B4" t="s">
        <v>33</v>
      </c>
      <c r="C4" t="s">
        <v>39</v>
      </c>
      <c r="D4" t="s">
        <v>71</v>
      </c>
      <c r="E4" t="s">
        <v>70</v>
      </c>
      <c r="F4" t="s">
        <v>69</v>
      </c>
      <c r="G4" t="s">
        <v>34</v>
      </c>
    </row>
    <row r="5" spans="2:7" x14ac:dyDescent="0.25">
      <c r="B5" t="s">
        <v>0</v>
      </c>
      <c r="C5" t="s">
        <v>40</v>
      </c>
      <c r="F5" s="2">
        <v>0.39166666666666666</v>
      </c>
      <c r="G5" s="1">
        <v>225064</v>
      </c>
    </row>
    <row r="6" spans="2:7" x14ac:dyDescent="0.25">
      <c r="B6" t="s">
        <v>2</v>
      </c>
      <c r="C6" t="s">
        <v>41</v>
      </c>
      <c r="F6" s="2">
        <v>0.39444444444444443</v>
      </c>
      <c r="G6" s="1">
        <v>260912</v>
      </c>
    </row>
    <row r="7" spans="2:7" x14ac:dyDescent="0.25">
      <c r="B7" t="s">
        <v>3</v>
      </c>
      <c r="C7" t="s">
        <v>42</v>
      </c>
      <c r="F7" s="2">
        <v>0.3979166666666667</v>
      </c>
      <c r="G7" s="1">
        <v>286666</v>
      </c>
    </row>
    <row r="8" spans="2:7" x14ac:dyDescent="0.25">
      <c r="B8" t="s">
        <v>4</v>
      </c>
      <c r="C8" t="s">
        <v>43</v>
      </c>
      <c r="F8" s="2">
        <v>0.39930555555555558</v>
      </c>
      <c r="G8" s="1">
        <v>272180</v>
      </c>
    </row>
    <row r="9" spans="2:7" x14ac:dyDescent="0.25">
      <c r="B9" t="s">
        <v>5</v>
      </c>
      <c r="C9" t="s">
        <v>44</v>
      </c>
      <c r="F9" s="2">
        <v>0.40138888888888885</v>
      </c>
      <c r="G9" s="1">
        <v>273945</v>
      </c>
    </row>
    <row r="10" spans="2:7" x14ac:dyDescent="0.25">
      <c r="B10" t="s">
        <v>6</v>
      </c>
      <c r="C10" t="s">
        <v>48</v>
      </c>
      <c r="F10" s="2">
        <v>0.4145833333333333</v>
      </c>
      <c r="G10" t="s">
        <v>1</v>
      </c>
    </row>
    <row r="11" spans="2:7" x14ac:dyDescent="0.25">
      <c r="B11" t="s">
        <v>7</v>
      </c>
      <c r="C11" t="s">
        <v>49</v>
      </c>
      <c r="F11" s="2">
        <v>0.41597222222222219</v>
      </c>
      <c r="G11" t="s">
        <v>1</v>
      </c>
    </row>
    <row r="12" spans="2:7" x14ac:dyDescent="0.25">
      <c r="B12" t="s">
        <v>8</v>
      </c>
      <c r="C12" t="s">
        <v>50</v>
      </c>
      <c r="F12" s="2">
        <v>0.41805555555555557</v>
      </c>
      <c r="G12" t="s">
        <v>1</v>
      </c>
    </row>
    <row r="13" spans="2:7" x14ac:dyDescent="0.25">
      <c r="B13" t="s">
        <v>9</v>
      </c>
      <c r="C13" t="s">
        <v>51</v>
      </c>
      <c r="F13" s="2">
        <v>0.43958333333333338</v>
      </c>
      <c r="G13" t="s">
        <v>1</v>
      </c>
    </row>
    <row r="14" spans="2:7" x14ac:dyDescent="0.25">
      <c r="B14" t="s">
        <v>10</v>
      </c>
      <c r="C14" t="s">
        <v>52</v>
      </c>
      <c r="F14" s="2">
        <v>0.44097222222222227</v>
      </c>
      <c r="G14" t="s">
        <v>1</v>
      </c>
    </row>
    <row r="15" spans="2:7" x14ac:dyDescent="0.25">
      <c r="B15" s="3" t="s">
        <v>11</v>
      </c>
      <c r="C15" t="s">
        <v>53</v>
      </c>
      <c r="F15" s="2">
        <v>0.46111111111111108</v>
      </c>
      <c r="G15" t="s">
        <v>1</v>
      </c>
    </row>
    <row r="16" spans="2:7" x14ac:dyDescent="0.25">
      <c r="B16" t="s">
        <v>12</v>
      </c>
      <c r="C16" t="s">
        <v>54</v>
      </c>
      <c r="D16">
        <f>24</f>
        <v>24</v>
      </c>
      <c r="E16" s="2">
        <f t="shared" ref="E16:E33" si="0">F16-$F$2</f>
        <v>1.6666666666666663E-2</v>
      </c>
      <c r="F16" s="2">
        <v>0.49583333333333335</v>
      </c>
      <c r="G16" t="s">
        <v>1</v>
      </c>
    </row>
    <row r="17" spans="2:7" x14ac:dyDescent="0.25">
      <c r="B17" t="s">
        <v>13</v>
      </c>
      <c r="C17" t="s">
        <v>55</v>
      </c>
      <c r="D17">
        <f>50</f>
        <v>50</v>
      </c>
      <c r="E17" s="2">
        <f t="shared" si="0"/>
        <v>3.4722222222222265E-2</v>
      </c>
      <c r="F17" s="2">
        <v>0.51388888888888895</v>
      </c>
      <c r="G17" t="s">
        <v>1</v>
      </c>
    </row>
    <row r="18" spans="2:7" x14ac:dyDescent="0.25">
      <c r="B18" t="s">
        <v>14</v>
      </c>
      <c r="C18" t="s">
        <v>56</v>
      </c>
      <c r="D18">
        <f>60*1+14</f>
        <v>74</v>
      </c>
      <c r="E18" s="2">
        <f t="shared" si="0"/>
        <v>5.1388888888888873E-2</v>
      </c>
      <c r="F18" s="2">
        <v>0.53055555555555556</v>
      </c>
      <c r="G18" t="s">
        <v>1</v>
      </c>
    </row>
    <row r="19" spans="2:7" x14ac:dyDescent="0.25">
      <c r="B19" t="s">
        <v>15</v>
      </c>
      <c r="C19" t="s">
        <v>57</v>
      </c>
      <c r="D19">
        <f>1*60+34</f>
        <v>94</v>
      </c>
      <c r="E19" s="2">
        <f t="shared" si="0"/>
        <v>6.5277777777777712E-2</v>
      </c>
      <c r="F19" s="2">
        <v>0.5444444444444444</v>
      </c>
      <c r="G19" t="s">
        <v>1</v>
      </c>
    </row>
    <row r="20" spans="2:7" x14ac:dyDescent="0.25">
      <c r="B20" t="s">
        <v>16</v>
      </c>
      <c r="C20" t="s">
        <v>58</v>
      </c>
      <c r="D20">
        <f>1*60+36</f>
        <v>96</v>
      </c>
      <c r="E20" s="2">
        <f t="shared" si="0"/>
        <v>6.6666666666666596E-2</v>
      </c>
      <c r="F20" s="2">
        <v>0.54583333333333328</v>
      </c>
      <c r="G20" t="s">
        <v>1</v>
      </c>
    </row>
    <row r="21" spans="2:7" x14ac:dyDescent="0.25">
      <c r="B21" t="s">
        <v>17</v>
      </c>
      <c r="C21" t="s">
        <v>59</v>
      </c>
      <c r="D21">
        <f>2*60+1</f>
        <v>121</v>
      </c>
      <c r="E21" s="2">
        <f t="shared" si="0"/>
        <v>8.4027777777777757E-2</v>
      </c>
      <c r="F21" s="2">
        <v>0.56319444444444444</v>
      </c>
      <c r="G21" t="s">
        <v>1</v>
      </c>
    </row>
    <row r="22" spans="2:7" x14ac:dyDescent="0.25">
      <c r="B22" t="s">
        <v>18</v>
      </c>
      <c r="C22" t="s">
        <v>58</v>
      </c>
      <c r="D22">
        <f>60*2+3</f>
        <v>123</v>
      </c>
      <c r="E22" s="2">
        <f t="shared" si="0"/>
        <v>8.5416666666666641E-2</v>
      </c>
      <c r="F22" s="2">
        <v>0.56458333333333333</v>
      </c>
      <c r="G22" t="s">
        <v>1</v>
      </c>
    </row>
    <row r="23" spans="2:7" x14ac:dyDescent="0.25">
      <c r="B23" t="s">
        <v>19</v>
      </c>
      <c r="C23" t="s">
        <v>60</v>
      </c>
      <c r="D23">
        <f>2*60+28</f>
        <v>148</v>
      </c>
      <c r="E23" s="2">
        <f t="shared" si="0"/>
        <v>0.1027777777777778</v>
      </c>
      <c r="F23" s="2">
        <v>0.58194444444444449</v>
      </c>
      <c r="G23" t="s">
        <v>1</v>
      </c>
    </row>
    <row r="24" spans="2:7" x14ac:dyDescent="0.25">
      <c r="B24" t="s">
        <v>20</v>
      </c>
      <c r="C24" t="s">
        <v>61</v>
      </c>
      <c r="D24">
        <f>2*60+51</f>
        <v>171</v>
      </c>
      <c r="E24" s="2">
        <f t="shared" si="0"/>
        <v>0.11874999999999997</v>
      </c>
      <c r="F24" s="2">
        <v>0.59791666666666665</v>
      </c>
      <c r="G24" t="s">
        <v>1</v>
      </c>
    </row>
    <row r="25" spans="2:7" x14ac:dyDescent="0.25">
      <c r="B25" t="s">
        <v>21</v>
      </c>
      <c r="C25" t="s">
        <v>48</v>
      </c>
      <c r="D25">
        <f>2*60+53</f>
        <v>173</v>
      </c>
      <c r="E25" s="2">
        <f t="shared" si="0"/>
        <v>0.12013888888888885</v>
      </c>
      <c r="F25" s="2">
        <v>0.59930555555555554</v>
      </c>
      <c r="G25" s="1">
        <v>26791</v>
      </c>
    </row>
    <row r="26" spans="2:7" x14ac:dyDescent="0.25">
      <c r="B26" t="s">
        <v>22</v>
      </c>
      <c r="C26" t="s">
        <v>62</v>
      </c>
      <c r="D26">
        <f>3*60+12</f>
        <v>192</v>
      </c>
      <c r="E26" s="2">
        <f t="shared" si="0"/>
        <v>0.13333333333333325</v>
      </c>
      <c r="F26" s="2">
        <v>0.61249999999999993</v>
      </c>
      <c r="G26" t="s">
        <v>1</v>
      </c>
    </row>
    <row r="27" spans="2:7" x14ac:dyDescent="0.25">
      <c r="B27" t="s">
        <v>23</v>
      </c>
      <c r="C27" t="s">
        <v>48</v>
      </c>
      <c r="D27">
        <f>3*60+14</f>
        <v>194</v>
      </c>
      <c r="E27" s="2">
        <f t="shared" si="0"/>
        <v>0.13472222222222213</v>
      </c>
      <c r="F27" s="2">
        <v>0.61388888888888882</v>
      </c>
      <c r="G27" s="1">
        <v>31780</v>
      </c>
    </row>
    <row r="28" spans="2:7" x14ac:dyDescent="0.25">
      <c r="B28" t="s">
        <v>24</v>
      </c>
      <c r="C28" t="s">
        <v>63</v>
      </c>
      <c r="D28">
        <f>3*60+53</f>
        <v>233</v>
      </c>
      <c r="E28" s="2">
        <f t="shared" si="0"/>
        <v>0.16180555555555548</v>
      </c>
      <c r="F28" s="2">
        <v>0.64097222222222217</v>
      </c>
      <c r="G28" s="1">
        <v>24758</v>
      </c>
    </row>
    <row r="29" spans="2:7" x14ac:dyDescent="0.25">
      <c r="B29" t="s">
        <v>25</v>
      </c>
      <c r="C29" t="s">
        <v>64</v>
      </c>
      <c r="D29">
        <f>4*60+36</f>
        <v>276</v>
      </c>
      <c r="E29" s="2">
        <f t="shared" si="0"/>
        <v>0.19166666666666671</v>
      </c>
      <c r="F29" s="2">
        <v>0.67083333333333339</v>
      </c>
      <c r="G29" s="1">
        <v>44280</v>
      </c>
    </row>
    <row r="30" spans="2:7" x14ac:dyDescent="0.25">
      <c r="B30" t="s">
        <v>26</v>
      </c>
      <c r="C30" t="s">
        <v>65</v>
      </c>
      <c r="D30">
        <f>4*60+59</f>
        <v>299</v>
      </c>
      <c r="E30" s="2">
        <f t="shared" si="0"/>
        <v>0.20763888888888887</v>
      </c>
      <c r="F30" s="2">
        <v>0.68680555555555556</v>
      </c>
      <c r="G30" s="1">
        <v>49974</v>
      </c>
    </row>
    <row r="31" spans="2:7" x14ac:dyDescent="0.25">
      <c r="B31" t="s">
        <v>27</v>
      </c>
      <c r="C31" t="s">
        <v>66</v>
      </c>
      <c r="D31">
        <f>5*60+26</f>
        <v>326</v>
      </c>
      <c r="E31" s="2">
        <f t="shared" si="0"/>
        <v>0.22638888888888892</v>
      </c>
      <c r="F31" s="2">
        <v>0.7055555555555556</v>
      </c>
      <c r="G31" s="1">
        <v>60893</v>
      </c>
    </row>
    <row r="32" spans="2:7" x14ac:dyDescent="0.25">
      <c r="B32" t="s">
        <v>28</v>
      </c>
      <c r="C32" t="s">
        <v>67</v>
      </c>
      <c r="D32">
        <f>6*60+23</f>
        <v>383</v>
      </c>
      <c r="E32" s="2">
        <f t="shared" si="0"/>
        <v>0.26597222222222222</v>
      </c>
      <c r="F32" s="2">
        <v>0.74513888888888891</v>
      </c>
      <c r="G32" t="s">
        <v>1</v>
      </c>
    </row>
    <row r="33" spans="2:7" x14ac:dyDescent="0.25">
      <c r="B33" t="s">
        <v>29</v>
      </c>
      <c r="C33" t="s">
        <v>68</v>
      </c>
      <c r="D33">
        <f>8*60+7</f>
        <v>487</v>
      </c>
      <c r="E33" s="2">
        <f t="shared" si="0"/>
        <v>0.33819444444444441</v>
      </c>
      <c r="F33" s="2">
        <v>0.81736111111111109</v>
      </c>
      <c r="G33" s="1">
        <v>111941</v>
      </c>
    </row>
    <row r="34" spans="2:7" x14ac:dyDescent="0.25">
      <c r="B34" t="s">
        <v>30</v>
      </c>
      <c r="C34" t="s">
        <v>45</v>
      </c>
      <c r="E34" s="2"/>
      <c r="G34" s="1">
        <v>205177</v>
      </c>
    </row>
    <row r="35" spans="2:7" x14ac:dyDescent="0.25">
      <c r="B35" t="s">
        <v>31</v>
      </c>
      <c r="C35" t="s">
        <v>46</v>
      </c>
      <c r="E35" s="2"/>
      <c r="G35" s="1">
        <v>220369</v>
      </c>
    </row>
    <row r="36" spans="2:7" x14ac:dyDescent="0.25">
      <c r="B36" t="s">
        <v>32</v>
      </c>
      <c r="C36" t="s">
        <v>47</v>
      </c>
      <c r="E36" s="2"/>
      <c r="G36" s="1">
        <v>253342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8"/>
  <sheetViews>
    <sheetView workbookViewId="0">
      <selection activeCell="G6" sqref="G6:G36"/>
    </sheetView>
  </sheetViews>
  <sheetFormatPr defaultRowHeight="15" x14ac:dyDescent="0.25"/>
  <cols>
    <col min="2" max="2" width="15.7109375" customWidth="1"/>
    <col min="3" max="3" width="15.28515625" customWidth="1"/>
    <col min="4" max="4" width="17" customWidth="1"/>
    <col min="5" max="5" width="14.140625" customWidth="1"/>
    <col min="6" max="6" width="13.7109375" customWidth="1"/>
    <col min="7" max="7" width="12" customWidth="1"/>
  </cols>
  <sheetData>
    <row r="3" spans="2:7" x14ac:dyDescent="0.25">
      <c r="B3" t="s">
        <v>38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38743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41768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45362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43503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42796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2333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2202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2205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2139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2134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2177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2155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2137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2138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2160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1992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2201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2099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2633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3195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4601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3116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5122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3927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6013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6452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7589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9009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11629</v>
      </c>
    </row>
    <row r="35" spans="2:7" x14ac:dyDescent="0.25">
      <c r="B35" t="s">
        <v>30</v>
      </c>
      <c r="C35" t="s">
        <v>45</v>
      </c>
      <c r="E35" s="2"/>
      <c r="G35" s="1">
        <v>27994</v>
      </c>
    </row>
    <row r="36" spans="2:7" x14ac:dyDescent="0.25">
      <c r="B36" t="s">
        <v>31</v>
      </c>
      <c r="C36" t="s">
        <v>46</v>
      </c>
      <c r="E36" s="2"/>
      <c r="G36" s="1">
        <v>28437</v>
      </c>
    </row>
    <row r="37" spans="2:7" x14ac:dyDescent="0.25">
      <c r="B37" t="s">
        <v>32</v>
      </c>
      <c r="C37" t="s">
        <v>47</v>
      </c>
      <c r="E37" s="2"/>
    </row>
    <row r="38" spans="2:7" x14ac:dyDescent="0.25">
      <c r="C38" s="1">
        <v>32414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76"/>
  <sheetViews>
    <sheetView topLeftCell="A40" workbookViewId="0">
      <selection activeCell="G45" sqref="G45:G76"/>
    </sheetView>
  </sheetViews>
  <sheetFormatPr defaultRowHeight="15" x14ac:dyDescent="0.25"/>
  <cols>
    <col min="2" max="3" width="18.28515625" customWidth="1"/>
    <col min="4" max="4" width="17.85546875" customWidth="1"/>
    <col min="5" max="5" width="13.140625" customWidth="1"/>
    <col min="7" max="7" width="16.42578125" customWidth="1"/>
  </cols>
  <sheetData>
    <row r="3" spans="2:7" x14ac:dyDescent="0.25">
      <c r="B3" t="s">
        <v>37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13558865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14598976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14678123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14330488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14297503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850228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2466266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1629694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1010279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1013199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1205936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952135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1104342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1282389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1173886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1198812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1819744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1407541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3276137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1574109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1747241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2357248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858820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2745758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3496061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4481813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3832659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5284747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4973506</v>
      </c>
    </row>
    <row r="35" spans="2:7" x14ac:dyDescent="0.25">
      <c r="B35" t="s">
        <v>30</v>
      </c>
      <c r="C35" t="s">
        <v>45</v>
      </c>
      <c r="E35" s="2"/>
      <c r="G35" s="1">
        <v>13244987</v>
      </c>
    </row>
    <row r="36" spans="2:7" x14ac:dyDescent="0.25">
      <c r="B36" t="s">
        <v>31</v>
      </c>
      <c r="C36" t="s">
        <v>46</v>
      </c>
      <c r="E36" s="2"/>
      <c r="G36" s="1">
        <v>13414216</v>
      </c>
    </row>
    <row r="37" spans="2:7" x14ac:dyDescent="0.25">
      <c r="B37" t="s">
        <v>32</v>
      </c>
      <c r="C37" t="s">
        <v>47</v>
      </c>
      <c r="E37" s="2"/>
    </row>
    <row r="43" spans="2:7" x14ac:dyDescent="0.25">
      <c r="B43" t="s">
        <v>36</v>
      </c>
    </row>
    <row r="44" spans="2:7" x14ac:dyDescent="0.25">
      <c r="B44" t="s">
        <v>33</v>
      </c>
      <c r="C44" t="s">
        <v>39</v>
      </c>
      <c r="D44" t="s">
        <v>71</v>
      </c>
      <c r="E44" t="s">
        <v>70</v>
      </c>
      <c r="F44" t="s">
        <v>69</v>
      </c>
    </row>
    <row r="45" spans="2:7" x14ac:dyDescent="0.25">
      <c r="B45" t="s">
        <v>0</v>
      </c>
      <c r="C45" t="s">
        <v>40</v>
      </c>
      <c r="F45" s="2">
        <v>0.39166666666666666</v>
      </c>
      <c r="G45" s="1">
        <v>105872</v>
      </c>
    </row>
    <row r="46" spans="2:7" x14ac:dyDescent="0.25">
      <c r="B46" t="s">
        <v>2</v>
      </c>
      <c r="C46" t="s">
        <v>41</v>
      </c>
      <c r="F46" s="2">
        <v>0.39444444444444443</v>
      </c>
      <c r="G46" s="1">
        <v>138455</v>
      </c>
    </row>
    <row r="47" spans="2:7" x14ac:dyDescent="0.25">
      <c r="B47" t="s">
        <v>3</v>
      </c>
      <c r="C47" t="s">
        <v>42</v>
      </c>
      <c r="F47" s="2">
        <v>0.3979166666666667</v>
      </c>
      <c r="G47" s="1">
        <v>156739</v>
      </c>
    </row>
    <row r="48" spans="2:7" x14ac:dyDescent="0.25">
      <c r="B48" t="s">
        <v>4</v>
      </c>
      <c r="C48" t="s">
        <v>43</v>
      </c>
      <c r="F48" s="2">
        <v>0.39930555555555558</v>
      </c>
      <c r="G48" s="1">
        <v>153577</v>
      </c>
    </row>
    <row r="49" spans="2:7" x14ac:dyDescent="0.25">
      <c r="B49" t="s">
        <v>5</v>
      </c>
      <c r="C49" t="s">
        <v>44</v>
      </c>
      <c r="F49" s="2">
        <v>0.40138888888888885</v>
      </c>
      <c r="G49" s="1">
        <v>155923</v>
      </c>
    </row>
    <row r="50" spans="2:7" x14ac:dyDescent="0.25">
      <c r="B50" t="s">
        <v>6</v>
      </c>
      <c r="C50" t="s">
        <v>48</v>
      </c>
      <c r="F50" s="2">
        <v>0.4145833333333333</v>
      </c>
      <c r="G50" t="s">
        <v>1</v>
      </c>
    </row>
    <row r="51" spans="2:7" x14ac:dyDescent="0.25">
      <c r="B51" t="s">
        <v>7</v>
      </c>
      <c r="C51" t="s">
        <v>49</v>
      </c>
      <c r="F51" s="2">
        <v>0.41597222222222219</v>
      </c>
      <c r="G51" t="s">
        <v>1</v>
      </c>
    </row>
    <row r="52" spans="2:7" x14ac:dyDescent="0.25">
      <c r="B52" t="s">
        <v>8</v>
      </c>
      <c r="C52" t="s">
        <v>50</v>
      </c>
      <c r="F52" s="2">
        <v>0.41805555555555557</v>
      </c>
      <c r="G52" t="s">
        <v>1</v>
      </c>
    </row>
    <row r="53" spans="2:7" x14ac:dyDescent="0.25">
      <c r="B53" t="s">
        <v>9</v>
      </c>
      <c r="C53" t="s">
        <v>51</v>
      </c>
      <c r="F53" s="2">
        <v>0.43958333333333338</v>
      </c>
      <c r="G53" t="s">
        <v>1</v>
      </c>
    </row>
    <row r="54" spans="2:7" x14ac:dyDescent="0.25">
      <c r="B54" t="s">
        <v>10</v>
      </c>
      <c r="C54" t="s">
        <v>52</v>
      </c>
      <c r="F54" s="2">
        <v>0.44097222222222227</v>
      </c>
      <c r="G54" t="s">
        <v>1</v>
      </c>
    </row>
    <row r="55" spans="2:7" x14ac:dyDescent="0.25">
      <c r="B55" t="s">
        <v>11</v>
      </c>
      <c r="C55" t="s">
        <v>53</v>
      </c>
      <c r="F55" s="2">
        <v>0.46111111111111108</v>
      </c>
      <c r="G55" t="s">
        <v>1</v>
      </c>
    </row>
    <row r="56" spans="2:7" x14ac:dyDescent="0.25">
      <c r="B56" t="s">
        <v>12</v>
      </c>
      <c r="C56" t="s">
        <v>54</v>
      </c>
      <c r="D56">
        <f>24</f>
        <v>24</v>
      </c>
      <c r="E56" s="2">
        <f t="shared" ref="E56:E73" si="1">F56-$F$4</f>
        <v>0.49583333333333335</v>
      </c>
      <c r="F56" s="2">
        <v>0.49583333333333335</v>
      </c>
      <c r="G56" t="s">
        <v>1</v>
      </c>
    </row>
    <row r="57" spans="2:7" x14ac:dyDescent="0.25">
      <c r="B57" t="s">
        <v>13</v>
      </c>
      <c r="C57" t="s">
        <v>55</v>
      </c>
      <c r="D57">
        <f>50</f>
        <v>50</v>
      </c>
      <c r="E57" s="2">
        <f t="shared" si="1"/>
        <v>0.51388888888888895</v>
      </c>
      <c r="F57" s="2">
        <v>0.51388888888888895</v>
      </c>
      <c r="G57" t="s">
        <v>1</v>
      </c>
    </row>
    <row r="58" spans="2:7" x14ac:dyDescent="0.25">
      <c r="B58" t="s">
        <v>14</v>
      </c>
      <c r="C58" t="s">
        <v>56</v>
      </c>
      <c r="D58">
        <f>60*1+14</f>
        <v>74</v>
      </c>
      <c r="E58" s="2">
        <f t="shared" si="1"/>
        <v>0.53055555555555556</v>
      </c>
      <c r="F58" s="2">
        <v>0.53055555555555556</v>
      </c>
      <c r="G58" t="s">
        <v>1</v>
      </c>
    </row>
    <row r="59" spans="2:7" x14ac:dyDescent="0.25">
      <c r="B59" t="s">
        <v>15</v>
      </c>
      <c r="C59" t="s">
        <v>57</v>
      </c>
      <c r="D59">
        <f>1*60+34</f>
        <v>94</v>
      </c>
      <c r="E59" s="2">
        <f t="shared" si="1"/>
        <v>0.5444444444444444</v>
      </c>
      <c r="F59" s="2">
        <v>0.5444444444444444</v>
      </c>
      <c r="G59" s="1">
        <v>1711</v>
      </c>
    </row>
    <row r="60" spans="2:7" x14ac:dyDescent="0.25">
      <c r="B60" t="s">
        <v>16</v>
      </c>
      <c r="C60" t="s">
        <v>58</v>
      </c>
      <c r="D60">
        <f>1*60+36</f>
        <v>96</v>
      </c>
      <c r="E60" s="2">
        <f t="shared" si="1"/>
        <v>0.54583333333333328</v>
      </c>
      <c r="F60" s="2">
        <v>0.54583333333333328</v>
      </c>
      <c r="G60" t="s">
        <v>1</v>
      </c>
    </row>
    <row r="61" spans="2:7" x14ac:dyDescent="0.25">
      <c r="B61" t="s">
        <v>17</v>
      </c>
      <c r="C61" t="s">
        <v>59</v>
      </c>
      <c r="D61">
        <f>2*60+1</f>
        <v>121</v>
      </c>
      <c r="E61" s="2">
        <f t="shared" si="1"/>
        <v>0.56319444444444444</v>
      </c>
      <c r="F61" s="2">
        <v>0.56319444444444444</v>
      </c>
      <c r="G61" s="1">
        <v>1674</v>
      </c>
    </row>
    <row r="62" spans="2:7" x14ac:dyDescent="0.25">
      <c r="B62" t="s">
        <v>18</v>
      </c>
      <c r="C62" t="s">
        <v>58</v>
      </c>
      <c r="D62">
        <f>60*2+3</f>
        <v>123</v>
      </c>
      <c r="E62" s="2">
        <f t="shared" si="1"/>
        <v>0.56458333333333333</v>
      </c>
      <c r="F62" s="2">
        <v>0.56458333333333333</v>
      </c>
      <c r="G62" s="1">
        <v>1031</v>
      </c>
    </row>
    <row r="63" spans="2:7" x14ac:dyDescent="0.25">
      <c r="B63" t="s">
        <v>19</v>
      </c>
      <c r="C63" t="s">
        <v>60</v>
      </c>
      <c r="D63">
        <f>2*60+28</f>
        <v>148</v>
      </c>
      <c r="E63" s="2">
        <f t="shared" si="1"/>
        <v>0.58194444444444449</v>
      </c>
      <c r="F63" s="2">
        <v>0.58194444444444449</v>
      </c>
      <c r="G63" s="1">
        <v>7419</v>
      </c>
    </row>
    <row r="64" spans="2:7" x14ac:dyDescent="0.25">
      <c r="B64" t="s">
        <v>20</v>
      </c>
      <c r="C64" t="s">
        <v>61</v>
      </c>
      <c r="D64">
        <f>2*60+51</f>
        <v>171</v>
      </c>
      <c r="E64" s="2">
        <f t="shared" si="1"/>
        <v>0.59791666666666665</v>
      </c>
      <c r="F64" s="2">
        <v>0.59791666666666665</v>
      </c>
      <c r="G64" s="1">
        <v>32994</v>
      </c>
    </row>
    <row r="65" spans="2:7" x14ac:dyDescent="0.25">
      <c r="B65" t="s">
        <v>21</v>
      </c>
      <c r="C65" t="s">
        <v>48</v>
      </c>
      <c r="D65">
        <f>2*60+53</f>
        <v>173</v>
      </c>
      <c r="E65" s="2">
        <f t="shared" si="1"/>
        <v>0.59930555555555554</v>
      </c>
      <c r="F65" s="2">
        <v>0.59930555555555554</v>
      </c>
      <c r="G65" s="1">
        <v>26359</v>
      </c>
    </row>
    <row r="66" spans="2:7" x14ac:dyDescent="0.25">
      <c r="B66" t="s">
        <v>22</v>
      </c>
      <c r="C66" t="s">
        <v>62</v>
      </c>
      <c r="D66">
        <f>3*60+12</f>
        <v>192</v>
      </c>
      <c r="E66" s="2">
        <f t="shared" si="1"/>
        <v>0.61249999999999993</v>
      </c>
      <c r="F66" s="2">
        <v>0.61249999999999993</v>
      </c>
      <c r="G66" s="1">
        <v>15314</v>
      </c>
    </row>
    <row r="67" spans="2:7" x14ac:dyDescent="0.25">
      <c r="B67" t="s">
        <v>23</v>
      </c>
      <c r="C67" t="s">
        <v>48</v>
      </c>
      <c r="D67">
        <f>3*60+14</f>
        <v>194</v>
      </c>
      <c r="E67" s="2">
        <f t="shared" si="1"/>
        <v>0.61388888888888882</v>
      </c>
      <c r="F67" s="2">
        <v>0.61388888888888882</v>
      </c>
      <c r="G67" s="1">
        <v>28330</v>
      </c>
    </row>
    <row r="68" spans="2:7" x14ac:dyDescent="0.25">
      <c r="B68" t="s">
        <v>24</v>
      </c>
      <c r="C68" t="s">
        <v>63</v>
      </c>
      <c r="D68">
        <f>3*60+53</f>
        <v>233</v>
      </c>
      <c r="E68" s="2">
        <f t="shared" si="1"/>
        <v>0.64097222222222217</v>
      </c>
      <c r="F68" s="2">
        <v>0.64097222222222217</v>
      </c>
      <c r="G68" s="1">
        <v>26190</v>
      </c>
    </row>
    <row r="69" spans="2:7" x14ac:dyDescent="0.25">
      <c r="B69" t="s">
        <v>25</v>
      </c>
      <c r="C69" t="s">
        <v>64</v>
      </c>
      <c r="D69">
        <f>4*60+36</f>
        <v>276</v>
      </c>
      <c r="E69" s="2">
        <f t="shared" si="1"/>
        <v>0.67083333333333339</v>
      </c>
      <c r="F69" s="2">
        <v>0.67083333333333339</v>
      </c>
      <c r="G69" s="1">
        <v>45661</v>
      </c>
    </row>
    <row r="70" spans="2:7" x14ac:dyDescent="0.25">
      <c r="B70" t="s">
        <v>26</v>
      </c>
      <c r="C70" t="s">
        <v>65</v>
      </c>
      <c r="D70">
        <f>4*60+59</f>
        <v>299</v>
      </c>
      <c r="E70" s="2">
        <f t="shared" si="1"/>
        <v>0.68680555555555556</v>
      </c>
      <c r="F70" s="2">
        <v>0.68680555555555556</v>
      </c>
      <c r="G70" s="1">
        <v>49334</v>
      </c>
    </row>
    <row r="71" spans="2:7" x14ac:dyDescent="0.25">
      <c r="B71" t="s">
        <v>27</v>
      </c>
      <c r="C71" t="s">
        <v>66</v>
      </c>
      <c r="D71">
        <f>5*60+26</f>
        <v>326</v>
      </c>
      <c r="E71" s="2">
        <f t="shared" si="1"/>
        <v>0.7055555555555556</v>
      </c>
      <c r="F71" s="2">
        <v>0.7055555555555556</v>
      </c>
      <c r="G71" s="1">
        <v>58120</v>
      </c>
    </row>
    <row r="72" spans="2:7" x14ac:dyDescent="0.25">
      <c r="B72" t="s">
        <v>28</v>
      </c>
      <c r="C72" t="s">
        <v>67</v>
      </c>
      <c r="D72">
        <f>6*60+23</f>
        <v>383</v>
      </c>
      <c r="E72" s="2">
        <f t="shared" si="1"/>
        <v>0.74513888888888891</v>
      </c>
      <c r="F72" s="2">
        <v>0.74513888888888891</v>
      </c>
      <c r="G72" s="1">
        <v>66545</v>
      </c>
    </row>
    <row r="73" spans="2:7" x14ac:dyDescent="0.25">
      <c r="B73" t="s">
        <v>29</v>
      </c>
      <c r="C73" t="s">
        <v>68</v>
      </c>
      <c r="D73">
        <f>8*60+7</f>
        <v>487</v>
      </c>
      <c r="E73" s="2">
        <f t="shared" si="1"/>
        <v>0.81736111111111109</v>
      </c>
      <c r="F73" s="2">
        <v>0.81736111111111109</v>
      </c>
      <c r="G73" s="1">
        <v>90196</v>
      </c>
    </row>
    <row r="74" spans="2:7" x14ac:dyDescent="0.25">
      <c r="B74" t="s">
        <v>30</v>
      </c>
      <c r="C74" t="s">
        <v>45</v>
      </c>
      <c r="E74" s="2"/>
      <c r="G74" s="1">
        <v>114371</v>
      </c>
    </row>
    <row r="75" spans="2:7" x14ac:dyDescent="0.25">
      <c r="B75" t="s">
        <v>31</v>
      </c>
      <c r="C75" t="s">
        <v>46</v>
      </c>
      <c r="E75" s="2"/>
      <c r="G75" s="1">
        <v>127131</v>
      </c>
    </row>
    <row r="76" spans="2:7" x14ac:dyDescent="0.25">
      <c r="B76" t="s">
        <v>32</v>
      </c>
      <c r="C76" t="s">
        <v>47</v>
      </c>
      <c r="E76" s="2"/>
      <c r="G76" s="1">
        <v>149057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E52-5A37-4526-9FFB-7C4083362A52}">
  <dimension ref="B3:BH51"/>
  <sheetViews>
    <sheetView tabSelected="1" topLeftCell="AS1" workbookViewId="0">
      <selection activeCell="AV20" sqref="AV20"/>
    </sheetView>
  </sheetViews>
  <sheetFormatPr defaultRowHeight="15" x14ac:dyDescent="0.25"/>
  <cols>
    <col min="1" max="1" width="9.140625" style="10"/>
    <col min="2" max="2" width="23.42578125" style="10" customWidth="1"/>
    <col min="3" max="3" width="20.7109375" style="10" customWidth="1"/>
    <col min="4" max="4" width="18.85546875" style="10" customWidth="1"/>
    <col min="5" max="5" width="15.28515625" style="10" customWidth="1"/>
    <col min="6" max="6" width="9.140625" style="10"/>
    <col min="7" max="7" width="14.28515625" style="10" customWidth="1"/>
    <col min="8" max="8" width="17.140625" style="10" customWidth="1"/>
    <col min="9" max="9" width="26" style="10" customWidth="1"/>
    <col min="10" max="10" width="22.42578125" style="10" customWidth="1"/>
    <col min="11" max="11" width="21.42578125" style="10" customWidth="1"/>
    <col min="12" max="13" width="9.140625" style="10"/>
    <col min="14" max="14" width="13.42578125" style="10" customWidth="1"/>
    <col min="15" max="16" width="9.140625" style="10"/>
    <col min="17" max="17" width="14.28515625" style="10" customWidth="1"/>
    <col min="18" max="18" width="12.42578125" style="10" customWidth="1"/>
    <col min="19" max="19" width="14.42578125" style="10" customWidth="1"/>
    <col min="20" max="21" width="18.42578125" style="10" customWidth="1"/>
    <col min="22" max="22" width="15" style="10" customWidth="1"/>
    <col min="23" max="24" width="14.28515625" style="10" customWidth="1"/>
    <col min="25" max="26" width="18.7109375" style="10" customWidth="1"/>
    <col min="27" max="27" width="16.140625" style="10" customWidth="1"/>
    <col min="28" max="28" width="15" style="10" customWidth="1"/>
    <col min="29" max="29" width="18.7109375" style="10" customWidth="1"/>
    <col min="30" max="31" width="21.7109375" style="10" customWidth="1"/>
    <col min="32" max="32" width="12" style="10" bestFit="1" customWidth="1"/>
    <col min="33" max="33" width="9.140625" style="10"/>
    <col min="34" max="34" width="14.42578125" style="10" customWidth="1"/>
    <col min="35" max="36" width="19" style="10" customWidth="1"/>
    <col min="37" max="37" width="13.7109375" style="10" customWidth="1"/>
    <col min="38" max="38" width="12.42578125" style="10" customWidth="1"/>
    <col min="39" max="39" width="12.7109375" style="10" customWidth="1"/>
    <col min="40" max="41" width="18.28515625" style="10" customWidth="1"/>
    <col min="42" max="43" width="9.140625" style="10"/>
    <col min="44" max="44" width="15.28515625" style="10" customWidth="1"/>
    <col min="45" max="46" width="18.7109375" style="10" customWidth="1"/>
    <col min="47" max="47" width="14.85546875" style="10" customWidth="1"/>
    <col min="48" max="48" width="9.140625" style="10"/>
    <col min="49" max="49" width="14.28515625" style="10" customWidth="1"/>
    <col min="50" max="51" width="18.85546875" style="10" customWidth="1"/>
    <col min="52" max="53" width="9.140625" style="10"/>
    <col min="54" max="54" width="13.42578125" style="10" customWidth="1"/>
    <col min="55" max="58" width="18.140625" style="10" customWidth="1"/>
    <col min="59" max="59" width="16.5703125" style="10" customWidth="1"/>
    <col min="60" max="60" width="19.5703125" style="10" customWidth="1"/>
    <col min="61" max="16384" width="9.140625" style="10"/>
  </cols>
  <sheetData>
    <row r="3" spans="2:60" x14ac:dyDescent="0.25">
      <c r="B3" s="14"/>
      <c r="C3" s="14"/>
      <c r="D3" s="14"/>
      <c r="E3" s="14"/>
      <c r="F3" s="9">
        <v>0.43194444444444446</v>
      </c>
      <c r="G3" s="9"/>
      <c r="H3" s="9"/>
      <c r="I3" s="9"/>
      <c r="J3" s="9"/>
      <c r="K3" s="9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2:60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23" t="s">
        <v>72</v>
      </c>
      <c r="M4" s="23"/>
      <c r="N4" s="23"/>
      <c r="O4" s="23"/>
      <c r="P4" s="23"/>
      <c r="Q4" s="23" t="s">
        <v>119</v>
      </c>
      <c r="R4" s="23"/>
      <c r="S4" s="23"/>
      <c r="T4" s="23"/>
      <c r="U4" s="23"/>
      <c r="V4" s="23" t="s">
        <v>80</v>
      </c>
      <c r="W4" s="23"/>
      <c r="X4" s="23"/>
      <c r="Y4" s="23"/>
      <c r="Z4" s="23"/>
      <c r="AA4" s="23" t="s">
        <v>81</v>
      </c>
      <c r="AB4" s="23"/>
      <c r="AC4" s="23"/>
      <c r="AD4" s="23"/>
      <c r="AE4" s="23"/>
      <c r="AF4" s="23" t="s">
        <v>82</v>
      </c>
      <c r="AG4" s="23"/>
      <c r="AH4" s="23"/>
      <c r="AI4" s="23"/>
      <c r="AJ4" s="14"/>
      <c r="AK4" s="23" t="s">
        <v>83</v>
      </c>
      <c r="AL4" s="23"/>
      <c r="AM4" s="23"/>
      <c r="AN4" s="23"/>
      <c r="AO4" s="23"/>
      <c r="AP4" s="23" t="s">
        <v>84</v>
      </c>
      <c r="AQ4" s="23"/>
      <c r="AR4" s="23"/>
      <c r="AS4" s="23"/>
      <c r="AT4" s="23"/>
      <c r="AU4" s="23" t="s">
        <v>85</v>
      </c>
      <c r="AV4" s="23"/>
      <c r="AW4" s="23"/>
      <c r="AX4" s="23"/>
      <c r="AY4" s="23"/>
      <c r="AZ4" s="23" t="s">
        <v>86</v>
      </c>
      <c r="BA4" s="23"/>
      <c r="BB4" s="23"/>
      <c r="BC4" s="23"/>
      <c r="BD4" s="23"/>
      <c r="BE4" s="14"/>
      <c r="BF4" s="14"/>
      <c r="BG4" s="23" t="s">
        <v>87</v>
      </c>
      <c r="BH4" s="23"/>
    </row>
    <row r="5" spans="2:60" x14ac:dyDescent="0.25">
      <c r="B5" s="14" t="s">
        <v>33</v>
      </c>
      <c r="C5" s="14" t="s">
        <v>39</v>
      </c>
      <c r="D5" s="14" t="s">
        <v>71</v>
      </c>
      <c r="E5" s="14" t="s">
        <v>70</v>
      </c>
      <c r="F5" s="14" t="s">
        <v>69</v>
      </c>
      <c r="G5" s="14" t="s">
        <v>73</v>
      </c>
      <c r="H5" s="14" t="s">
        <v>74</v>
      </c>
      <c r="I5" s="14" t="s">
        <v>75</v>
      </c>
      <c r="J5" s="14" t="s">
        <v>76</v>
      </c>
      <c r="K5" s="14" t="s">
        <v>77</v>
      </c>
      <c r="L5" s="14" t="s">
        <v>35</v>
      </c>
      <c r="M5" s="14" t="s">
        <v>38</v>
      </c>
      <c r="N5" s="14" t="s">
        <v>37</v>
      </c>
      <c r="O5" s="14" t="s">
        <v>36</v>
      </c>
      <c r="P5" s="14" t="s">
        <v>118</v>
      </c>
      <c r="Q5" s="14" t="s">
        <v>35</v>
      </c>
      <c r="R5" s="14" t="s">
        <v>38</v>
      </c>
      <c r="S5" s="14" t="s">
        <v>78</v>
      </c>
      <c r="T5" s="14" t="s">
        <v>79</v>
      </c>
      <c r="U5" s="14" t="s">
        <v>118</v>
      </c>
      <c r="V5" s="14" t="s">
        <v>35</v>
      </c>
      <c r="W5" s="14" t="s">
        <v>38</v>
      </c>
      <c r="X5" s="14" t="s">
        <v>78</v>
      </c>
      <c r="Y5" s="14" t="s">
        <v>79</v>
      </c>
      <c r="Z5" s="14" t="s">
        <v>118</v>
      </c>
      <c r="AA5" s="14" t="s">
        <v>35</v>
      </c>
      <c r="AB5" s="14" t="s">
        <v>38</v>
      </c>
      <c r="AC5" s="14" t="s">
        <v>78</v>
      </c>
      <c r="AD5" s="14" t="s">
        <v>79</v>
      </c>
      <c r="AE5" s="14" t="s">
        <v>118</v>
      </c>
      <c r="AF5" s="14" t="s">
        <v>35</v>
      </c>
      <c r="AG5" s="14" t="s">
        <v>38</v>
      </c>
      <c r="AH5" s="14" t="s">
        <v>78</v>
      </c>
      <c r="AI5" s="14" t="s">
        <v>79</v>
      </c>
      <c r="AJ5" s="14" t="s">
        <v>118</v>
      </c>
      <c r="AK5" s="14" t="s">
        <v>35</v>
      </c>
      <c r="AL5" s="14" t="s">
        <v>38</v>
      </c>
      <c r="AM5" s="14" t="s">
        <v>78</v>
      </c>
      <c r="AN5" s="14" t="s">
        <v>79</v>
      </c>
      <c r="AO5" s="14" t="s">
        <v>118</v>
      </c>
      <c r="AP5" s="14" t="s">
        <v>35</v>
      </c>
      <c r="AQ5" s="14" t="s">
        <v>38</v>
      </c>
      <c r="AR5" s="14" t="s">
        <v>78</v>
      </c>
      <c r="AS5" s="14" t="s">
        <v>79</v>
      </c>
      <c r="AT5" s="14" t="s">
        <v>118</v>
      </c>
      <c r="AU5" s="14" t="s">
        <v>35</v>
      </c>
      <c r="AV5" s="14" t="s">
        <v>38</v>
      </c>
      <c r="AW5" s="14" t="s">
        <v>78</v>
      </c>
      <c r="AX5" s="14" t="s">
        <v>79</v>
      </c>
      <c r="AY5" s="14" t="s">
        <v>118</v>
      </c>
      <c r="AZ5" s="14" t="s">
        <v>35</v>
      </c>
      <c r="BA5" s="14" t="s">
        <v>38</v>
      </c>
      <c r="BB5" s="14" t="s">
        <v>78</v>
      </c>
      <c r="BC5" s="14" t="s">
        <v>79</v>
      </c>
      <c r="BD5" s="14" t="s">
        <v>118</v>
      </c>
      <c r="BE5" s="14"/>
      <c r="BF5" s="14"/>
      <c r="BG5" s="10" t="s">
        <v>71</v>
      </c>
      <c r="BH5" s="14" t="s">
        <v>88</v>
      </c>
    </row>
    <row r="6" spans="2:60" s="4" customFormat="1" x14ac:dyDescent="0.25">
      <c r="B6" s="4" t="s">
        <v>89</v>
      </c>
      <c r="C6" s="5" t="s">
        <v>40</v>
      </c>
      <c r="D6" s="5"/>
      <c r="E6" s="5"/>
      <c r="F6" s="7">
        <v>0.41250000000000003</v>
      </c>
      <c r="G6" s="8">
        <v>9.9849999999999994</v>
      </c>
      <c r="H6" s="8">
        <v>19.006900000000002</v>
      </c>
      <c r="I6" s="8">
        <v>14.863099999999999</v>
      </c>
      <c r="J6" s="8">
        <f>H6-I6</f>
        <v>4.1438000000000024</v>
      </c>
      <c r="K6" s="8">
        <f>I6-G6</f>
        <v>4.8780999999999999</v>
      </c>
      <c r="L6" s="13">
        <v>206930</v>
      </c>
      <c r="M6" s="13">
        <v>43373</v>
      </c>
      <c r="N6" s="13">
        <v>8328069</v>
      </c>
      <c r="O6" s="13">
        <v>184286</v>
      </c>
      <c r="P6" s="13">
        <v>2626606</v>
      </c>
      <c r="Q6" s="5">
        <f>(L6+41130)/9817.1</f>
        <v>25.26815454665838</v>
      </c>
      <c r="R6" s="5">
        <f>(M6-895.67)/4.4253</f>
        <v>9598.7458477391374</v>
      </c>
      <c r="S6" s="5">
        <f>(N6-135841)/69413</f>
        <v>118.02152334577096</v>
      </c>
      <c r="T6" s="5">
        <f t="shared" ref="T6:T37" si="0">(4*10^-9*O6)+0.0001</f>
        <v>8.3714400000000006E-4</v>
      </c>
      <c r="U6" s="5">
        <f>(P6+4076.7)/5248.6</f>
        <v>501.21607666806386</v>
      </c>
      <c r="V6" s="5">
        <f>Q6/1000*1.2381</f>
        <v>3.1284502144217741E-2</v>
      </c>
      <c r="W6" s="5">
        <f>R6/1000*1.64^-1</f>
        <v>5.8528938095970346</v>
      </c>
      <c r="X6" s="5">
        <f>S6/1000*1.8084</f>
        <v>0.21343012281849219</v>
      </c>
      <c r="Y6" s="5">
        <f>T6/1000*6.0383</f>
        <v>5.0549266151999999E-6</v>
      </c>
      <c r="Z6" s="5">
        <f>U6/1000*6.57*10^-1</f>
        <v>0.32929896237091799</v>
      </c>
      <c r="AA6" s="5">
        <f>(Q6/1000000)*0.0019*30.07*1000</f>
        <v>1.4436454737142333E-3</v>
      </c>
      <c r="AB6" s="5">
        <f>(R6/1000000)*0.00037*4*1000</f>
        <v>1.4206143854653925E-2</v>
      </c>
      <c r="AC6" s="5">
        <f>(S6/1000000)*0.0245*44.01*1000</f>
        <v>0.12725611743996082</v>
      </c>
      <c r="AD6" s="5">
        <f>(T6/1000000)*0.00024*146.06*1000</f>
        <v>2.9345580633600009E-8</v>
      </c>
      <c r="AE6" s="5">
        <f>(U6/1000000)*0.0015*16.04*1000</f>
        <v>1.2059258804633616E-2</v>
      </c>
      <c r="AF6" s="5">
        <f>(V6*J6/1000)+(AA6*K6/1000)</f>
        <v>1.3667896697053494E-4</v>
      </c>
      <c r="AG6" s="5">
        <f>(W6*J6/1000)+(AB6*K6/1000)</f>
        <v>2.4322520358545593E-2</v>
      </c>
      <c r="AH6" s="5">
        <f>(X6*J6/1000)+(AC6*K6/1000)</f>
        <v>1.5051798094191412E-3</v>
      </c>
      <c r="AI6" s="5">
        <f>(Y6*J6/1000)+(AD6*K6/1000)</f>
        <v>2.1089755584954538E-8</v>
      </c>
      <c r="AJ6" s="5">
        <f>(Z6*J6/1000)+(AE6*K6/1000)</f>
        <v>1.423375310647494E-3</v>
      </c>
      <c r="AK6" s="5">
        <f>AF6/K6*1000</f>
        <v>2.8018894030572342E-2</v>
      </c>
      <c r="AL6" s="5">
        <f>AG6/K6*1000</f>
        <v>4.9860643198264887</v>
      </c>
      <c r="AM6" s="5">
        <f>AH6/K6*1000</f>
        <v>0.30855862106540277</v>
      </c>
      <c r="AN6" s="5">
        <f>AI6/K6*1000</f>
        <v>4.323354499693433E-6</v>
      </c>
      <c r="AO6" s="5">
        <f>AJ6/K6*1000</f>
        <v>0.29178887489954985</v>
      </c>
      <c r="AP6" s="5"/>
      <c r="AQ6" s="5"/>
      <c r="AR6" s="5"/>
      <c r="AS6" s="5"/>
      <c r="AT6" s="5"/>
      <c r="BF6" s="5"/>
    </row>
    <row r="7" spans="2:60" s="4" customFormat="1" x14ac:dyDescent="0.25">
      <c r="B7" s="4" t="s">
        <v>90</v>
      </c>
      <c r="C7" s="5" t="s">
        <v>41</v>
      </c>
      <c r="D7" s="5"/>
      <c r="E7" s="5"/>
      <c r="F7" s="7">
        <v>0.41319444444444442</v>
      </c>
      <c r="G7" s="8">
        <v>9.8438999999999997</v>
      </c>
      <c r="H7" s="8">
        <v>18.807300000000001</v>
      </c>
      <c r="I7" s="8">
        <v>14.4696</v>
      </c>
      <c r="J7" s="8">
        <f t="shared" ref="J7:J37" si="1">H7-I7</f>
        <v>4.3377000000000017</v>
      </c>
      <c r="K7" s="8">
        <f t="shared" ref="K7:K37" si="2">I7-G7</f>
        <v>4.6257000000000001</v>
      </c>
      <c r="L7" s="13">
        <v>190410</v>
      </c>
      <c r="M7" s="13">
        <v>40307</v>
      </c>
      <c r="N7" s="13">
        <v>8109507</v>
      </c>
      <c r="O7" s="13">
        <v>187816</v>
      </c>
      <c r="P7" s="13">
        <v>2481358</v>
      </c>
      <c r="Q7" s="5">
        <f t="shared" ref="Q7:Q37" si="3">(L7+41130)/9817.1</f>
        <v>23.585376536859155</v>
      </c>
      <c r="R7" s="5">
        <f t="shared" ref="R7:R37" si="4">(M7-895.67)/4.4253</f>
        <v>8905.9114636295853</v>
      </c>
      <c r="S7" s="5">
        <f t="shared" ref="S7:S37" si="5">(N7-135841)/69413</f>
        <v>114.87280480601616</v>
      </c>
      <c r="T7" s="5">
        <f t="shared" si="0"/>
        <v>8.5126400000000012E-4</v>
      </c>
      <c r="U7" s="5">
        <f t="shared" ref="U7:U37" si="6">(P7+4076.7)/5248.6</f>
        <v>473.54241130968256</v>
      </c>
      <c r="V7" s="5">
        <f t="shared" ref="V7:V37" si="7">Q7/1000*1.2381</f>
        <v>2.9201054690285319E-2</v>
      </c>
      <c r="W7" s="5">
        <f t="shared" ref="W7:W37" si="8">R7/1000*1.64^-1</f>
        <v>5.4304338192863328</v>
      </c>
      <c r="X7" s="5">
        <f t="shared" ref="X7:X37" si="9">S7/1000*1.8084</f>
        <v>0.20773598021119963</v>
      </c>
      <c r="Y7" s="5">
        <f t="shared" ref="Y7:Y37" si="10">T7/1000*6.0383</f>
        <v>5.1401874112000003E-6</v>
      </c>
      <c r="Z7" s="5">
        <f t="shared" ref="Z7:Z37" si="11">U7/1000*6.57*10^-1</f>
        <v>0.31111736423046144</v>
      </c>
      <c r="AA7" s="5">
        <f t="shared" ref="AA7:AA37" si="12">(Q7/1000000)*0.0019*30.07*1000</f>
        <v>1.3475033176803741E-3</v>
      </c>
      <c r="AB7" s="5">
        <f t="shared" ref="AB7:AB37" si="13">(R7/1000000)*0.00037*4*1000</f>
        <v>1.3180748966171786E-2</v>
      </c>
      <c r="AC7" s="5">
        <f t="shared" ref="AC7:AC37" si="14">(S7/1000000)*0.0245*44.01*1000</f>
        <v>0.1238610274180629</v>
      </c>
      <c r="AD7" s="5">
        <f t="shared" ref="AD7:AD37" si="15">(T7/1000000)*0.00024*146.06*1000</f>
        <v>2.9840548761600004E-8</v>
      </c>
      <c r="AE7" s="5">
        <f t="shared" ref="AE7:AE37" si="16">(U7/1000000)*0.0015*16.04*1000</f>
        <v>1.1393430416110963E-2</v>
      </c>
      <c r="AF7" s="5">
        <f t="shared" ref="AF7:AF37" si="17">(V7*J7/1000)+(AA7*K7/1000)</f>
        <v>1.3289856102664476E-4</v>
      </c>
      <c r="AG7" s="5">
        <f t="shared" ref="AG7:AG37" si="18">(W7*J7/1000)+(AB7*K7/1000)</f>
        <v>2.3616562968411154E-2</v>
      </c>
      <c r="AH7" s="5">
        <f t="shared" ref="AH7:AH37" si="19">(X7*J7/1000)+(AC7*K7/1000)</f>
        <v>1.4740403158898545E-3</v>
      </c>
      <c r="AI7" s="5">
        <f t="shared" ref="AI7:AI37" si="20">(Y7*J7/1000)+(AD7*K7/1000)</f>
        <v>2.2434624359968781E-8</v>
      </c>
      <c r="AJ7" s="5">
        <f t="shared" ref="AJ7:AJ37" si="21">(Z7*J7/1000)+(AE7*K7/1000)</f>
        <v>1.4022363818982778E-3</v>
      </c>
      <c r="AK7" s="5">
        <f t="shared" ref="AK7:AK37" si="22">AF7/K7*1000</f>
        <v>2.8730475609452574E-2</v>
      </c>
      <c r="AL7" s="5">
        <f t="shared" ref="AL7:AL37" si="23">AG7/K7*1000</f>
        <v>5.1055111590486097</v>
      </c>
      <c r="AM7" s="5">
        <f t="shared" ref="AM7:AM37" si="24">AH7/K7*1000</f>
        <v>0.31866318954749645</v>
      </c>
      <c r="AN7" s="5">
        <f t="shared" ref="AN7:AN37" si="25">AI7/K7*1000</f>
        <v>4.8499955379658822E-6</v>
      </c>
      <c r="AO7" s="5">
        <f t="shared" ref="AO7:AO37" si="26">AJ7/K7*1000</f>
        <v>0.30314036403101752</v>
      </c>
      <c r="AP7" s="5"/>
      <c r="AQ7" s="5"/>
      <c r="AR7" s="5"/>
      <c r="AS7" s="5"/>
      <c r="AT7" s="5"/>
      <c r="BF7" s="5"/>
    </row>
    <row r="8" spans="2:60" s="4" customFormat="1" x14ac:dyDescent="0.25">
      <c r="B8" s="4" t="s">
        <v>91</v>
      </c>
      <c r="C8" s="5" t="s">
        <v>42</v>
      </c>
      <c r="D8" s="5"/>
      <c r="E8" s="5"/>
      <c r="F8" s="7">
        <v>0.41388888888888892</v>
      </c>
      <c r="G8" s="8">
        <v>10.031000000000001</v>
      </c>
      <c r="H8" s="8">
        <v>18.655899999999999</v>
      </c>
      <c r="I8" s="8">
        <v>14.5686</v>
      </c>
      <c r="J8" s="8">
        <f t="shared" si="1"/>
        <v>4.087299999999999</v>
      </c>
      <c r="K8" s="8">
        <f t="shared" si="2"/>
        <v>4.5375999999999994</v>
      </c>
      <c r="L8" s="13">
        <v>244030</v>
      </c>
      <c r="M8" s="13">
        <v>65055</v>
      </c>
      <c r="N8" s="13">
        <v>8127167</v>
      </c>
      <c r="O8" s="13">
        <v>284505</v>
      </c>
      <c r="P8" s="13">
        <v>3272011</v>
      </c>
      <c r="Q8" s="5">
        <f t="shared" si="3"/>
        <v>29.047274653410884</v>
      </c>
      <c r="R8" s="5">
        <f t="shared" si="4"/>
        <v>14498.300680179875</v>
      </c>
      <c r="S8" s="5">
        <f t="shared" si="5"/>
        <v>115.12722400703038</v>
      </c>
      <c r="T8" s="5">
        <f t="shared" si="0"/>
        <v>1.23802E-3</v>
      </c>
      <c r="U8" s="5">
        <f t="shared" si="6"/>
        <v>624.18315360286556</v>
      </c>
      <c r="V8" s="5">
        <f t="shared" si="7"/>
        <v>3.5963430748388016E-2</v>
      </c>
      <c r="W8" s="5">
        <f t="shared" si="8"/>
        <v>8.840427244012119</v>
      </c>
      <c r="X8" s="5">
        <f t="shared" si="9"/>
        <v>0.20819607189431374</v>
      </c>
      <c r="Y8" s="5">
        <f t="shared" si="10"/>
        <v>7.4755361659999991E-6</v>
      </c>
      <c r="Z8" s="5">
        <f t="shared" si="11"/>
        <v>0.41008833191708272</v>
      </c>
      <c r="AA8" s="5">
        <f t="shared" si="12"/>
        <v>1.6595579427733239E-3</v>
      </c>
      <c r="AB8" s="5">
        <f t="shared" si="13"/>
        <v>2.1457485006666215E-2</v>
      </c>
      <c r="AC8" s="5">
        <f t="shared" si="14"/>
        <v>0.12413535364946048</v>
      </c>
      <c r="AD8" s="5">
        <f t="shared" si="15"/>
        <v>4.3398048288000001E-8</v>
      </c>
      <c r="AE8" s="5">
        <f t="shared" si="16"/>
        <v>1.5017846675684947E-2</v>
      </c>
      <c r="AF8" s="5">
        <f t="shared" si="17"/>
        <v>1.5452374061901452E-4</v>
      </c>
      <c r="AG8" s="5">
        <f t="shared" si="18"/>
        <v>3.6230843758416974E-2</v>
      </c>
      <c r="AH8" s="5">
        <f t="shared" si="19"/>
        <v>1.4142363853734204E-3</v>
      </c>
      <c r="AI8" s="5">
        <f t="shared" si="20"/>
        <v>3.0751681955203426E-8</v>
      </c>
      <c r="AJ8" s="5">
        <f t="shared" si="21"/>
        <v>1.7442990201202797E-3</v>
      </c>
      <c r="AK8" s="5">
        <f t="shared" si="22"/>
        <v>3.4054068366320196E-2</v>
      </c>
      <c r="AL8" s="5">
        <f t="shared" si="23"/>
        <v>7.9845829862519784</v>
      </c>
      <c r="AM8" s="5">
        <f t="shared" si="24"/>
        <v>0.31167057152975591</v>
      </c>
      <c r="AN8" s="5">
        <f t="shared" si="25"/>
        <v>6.7770808258117575E-6</v>
      </c>
      <c r="AO8" s="5">
        <f t="shared" si="26"/>
        <v>0.38441004498419429</v>
      </c>
      <c r="AP8" s="5"/>
      <c r="AQ8" s="5"/>
      <c r="AR8" s="5"/>
      <c r="AS8" s="5"/>
      <c r="AT8" s="5"/>
      <c r="BF8" s="5"/>
    </row>
    <row r="9" spans="2:60" x14ac:dyDescent="0.25">
      <c r="B9" s="10" t="s">
        <v>92</v>
      </c>
      <c r="C9" s="14" t="s">
        <v>48</v>
      </c>
      <c r="D9" s="14"/>
      <c r="E9" s="14"/>
      <c r="F9" s="9">
        <v>0.4284722222222222</v>
      </c>
      <c r="G9" s="11">
        <v>9.7927999999999997</v>
      </c>
      <c r="H9" s="11">
        <v>18.8383</v>
      </c>
      <c r="I9" s="11">
        <v>14.139200000000001</v>
      </c>
      <c r="J9" s="11">
        <f t="shared" si="1"/>
        <v>4.6990999999999996</v>
      </c>
      <c r="K9" s="11">
        <f t="shared" si="2"/>
        <v>4.3464000000000009</v>
      </c>
      <c r="L9" s="1" t="s">
        <v>1</v>
      </c>
      <c r="M9" s="1" t="s">
        <v>1</v>
      </c>
      <c r="N9" s="1">
        <v>81459</v>
      </c>
      <c r="O9" s="1" t="s">
        <v>1</v>
      </c>
      <c r="P9" s="1">
        <v>8136</v>
      </c>
      <c r="Q9" s="14">
        <v>0</v>
      </c>
      <c r="R9" s="14">
        <v>0</v>
      </c>
      <c r="S9" s="14">
        <f t="shared" si="5"/>
        <v>-0.78345554867243883</v>
      </c>
      <c r="T9" s="14">
        <v>0</v>
      </c>
      <c r="U9" s="14">
        <f t="shared" si="6"/>
        <v>2.3268490645124413</v>
      </c>
      <c r="V9" s="14">
        <f t="shared" si="7"/>
        <v>0</v>
      </c>
      <c r="W9" s="14">
        <f t="shared" si="8"/>
        <v>0</v>
      </c>
      <c r="X9" s="14">
        <f t="shared" si="9"/>
        <v>-1.4168010142192383E-3</v>
      </c>
      <c r="Y9" s="14">
        <f t="shared" si="10"/>
        <v>0</v>
      </c>
      <c r="Z9" s="14">
        <f t="shared" si="11"/>
        <v>1.5287398353846741E-3</v>
      </c>
      <c r="AA9" s="14">
        <f t="shared" si="12"/>
        <v>0</v>
      </c>
      <c r="AB9" s="14">
        <f t="shared" si="13"/>
        <v>0</v>
      </c>
      <c r="AC9" s="14">
        <f t="shared" si="14"/>
        <v>-8.4475702807831378E-4</v>
      </c>
      <c r="AD9" s="14">
        <f t="shared" si="15"/>
        <v>0</v>
      </c>
      <c r="AE9" s="14">
        <f t="shared" si="16"/>
        <v>5.598398849216934E-5</v>
      </c>
      <c r="AF9" s="14">
        <f t="shared" si="17"/>
        <v>0</v>
      </c>
      <c r="AG9" s="14">
        <f t="shared" si="18"/>
        <v>0</v>
      </c>
      <c r="AH9" s="14">
        <f t="shared" si="19"/>
        <v>-1.0329341592757206E-5</v>
      </c>
      <c r="AI9" s="14">
        <f t="shared" si="20"/>
        <v>0</v>
      </c>
      <c r="AJ9" s="14">
        <f t="shared" si="21"/>
        <v>7.4270301680384862E-6</v>
      </c>
      <c r="AK9" s="14">
        <f t="shared" si="22"/>
        <v>0</v>
      </c>
      <c r="AL9" s="14">
        <f t="shared" si="23"/>
        <v>0</v>
      </c>
      <c r="AM9" s="14">
        <f t="shared" si="24"/>
        <v>-2.3765280675403099E-3</v>
      </c>
      <c r="AN9" s="14">
        <f t="shared" si="25"/>
        <v>0</v>
      </c>
      <c r="AO9" s="14">
        <f t="shared" si="26"/>
        <v>1.7087774176418379E-3</v>
      </c>
      <c r="AP9" s="14"/>
      <c r="AQ9" s="14"/>
      <c r="AR9" s="14"/>
      <c r="AS9" s="14"/>
      <c r="AT9" s="14"/>
      <c r="AU9" s="10">
        <f>AVERAGE(AK6:AK8)</f>
        <v>3.0267812668781702E-2</v>
      </c>
      <c r="AV9" s="10">
        <f t="shared" ref="AV9:AY9" si="27">AVERAGE(AL6:AL8)</f>
        <v>6.0253861550423586</v>
      </c>
      <c r="AW9" s="10">
        <f t="shared" si="27"/>
        <v>0.31296412738088503</v>
      </c>
      <c r="AX9" s="10">
        <f t="shared" si="27"/>
        <v>5.3168102878236906E-6</v>
      </c>
      <c r="AY9" s="10">
        <f t="shared" si="27"/>
        <v>0.32644642797158724</v>
      </c>
      <c r="BF9" s="14"/>
      <c r="BH9"/>
    </row>
    <row r="10" spans="2:60" x14ac:dyDescent="0.25">
      <c r="B10" s="10" t="s">
        <v>93</v>
      </c>
      <c r="C10" s="14" t="s">
        <v>121</v>
      </c>
      <c r="D10" s="14"/>
      <c r="E10" s="14"/>
      <c r="F10" s="9">
        <v>0.4291666666666667</v>
      </c>
      <c r="G10" s="11">
        <v>9.9406999999999996</v>
      </c>
      <c r="H10" s="11">
        <v>19.202000000000002</v>
      </c>
      <c r="I10" s="11">
        <v>14.5481</v>
      </c>
      <c r="J10" s="11">
        <f t="shared" si="1"/>
        <v>4.6539000000000019</v>
      </c>
      <c r="K10" s="11">
        <f t="shared" si="2"/>
        <v>4.6074000000000002</v>
      </c>
      <c r="L10" t="s">
        <v>1</v>
      </c>
      <c r="M10" s="1" t="s">
        <v>1</v>
      </c>
      <c r="N10" s="1">
        <v>83399</v>
      </c>
      <c r="O10" s="1" t="s">
        <v>1</v>
      </c>
      <c r="P10" s="1">
        <v>7351</v>
      </c>
      <c r="Q10" s="14">
        <v>0</v>
      </c>
      <c r="R10" s="14">
        <v>0</v>
      </c>
      <c r="S10" s="14">
        <f t="shared" si="5"/>
        <v>-0.75550689352138645</v>
      </c>
      <c r="T10" s="14">
        <v>0</v>
      </c>
      <c r="U10" s="14">
        <f t="shared" si="6"/>
        <v>2.1772853713371183</v>
      </c>
      <c r="V10" s="14">
        <f t="shared" si="7"/>
        <v>0</v>
      </c>
      <c r="W10" s="14">
        <f t="shared" si="8"/>
        <v>0</v>
      </c>
      <c r="X10" s="14">
        <f t="shared" si="9"/>
        <v>-1.3662586662440753E-3</v>
      </c>
      <c r="Y10" s="14">
        <f t="shared" si="10"/>
        <v>0</v>
      </c>
      <c r="Z10" s="14">
        <f t="shared" si="11"/>
        <v>1.430476488968487E-3</v>
      </c>
      <c r="AA10" s="14">
        <f t="shared" si="12"/>
        <v>0</v>
      </c>
      <c r="AB10" s="14">
        <f t="shared" si="13"/>
        <v>0</v>
      </c>
      <c r="AC10" s="14">
        <f t="shared" si="14"/>
        <v>-8.1462153040496742E-4</v>
      </c>
      <c r="AD10" s="14">
        <f t="shared" si="15"/>
        <v>0</v>
      </c>
      <c r="AE10" s="14">
        <f t="shared" si="16"/>
        <v>5.2385486034371062E-5</v>
      </c>
      <c r="AF10" s="14">
        <f t="shared" si="17"/>
        <v>0</v>
      </c>
      <c r="AG10" s="14">
        <f t="shared" si="18"/>
        <v>0</v>
      </c>
      <c r="AH10" s="14">
        <f t="shared" si="19"/>
        <v>-1.0111718446021151E-5</v>
      </c>
      <c r="AI10" s="14">
        <f t="shared" si="20"/>
        <v>0</v>
      </c>
      <c r="AJ10" s="14">
        <f t="shared" si="21"/>
        <v>6.8986554203652061E-6</v>
      </c>
      <c r="AK10" s="14">
        <f t="shared" si="22"/>
        <v>0</v>
      </c>
      <c r="AL10" s="14">
        <f t="shared" si="23"/>
        <v>0</v>
      </c>
      <c r="AM10" s="14">
        <f t="shared" si="24"/>
        <v>-2.1946691075272716E-3</v>
      </c>
      <c r="AN10" s="14">
        <f t="shared" si="25"/>
        <v>0</v>
      </c>
      <c r="AO10" s="14">
        <f t="shared" si="26"/>
        <v>1.497299001685377E-3</v>
      </c>
      <c r="AP10" s="14"/>
      <c r="AQ10" s="14"/>
      <c r="AR10" s="14"/>
      <c r="AS10" s="14"/>
      <c r="AT10" s="14"/>
      <c r="BF10" s="14"/>
      <c r="BH10"/>
    </row>
    <row r="11" spans="2:60" x14ac:dyDescent="0.25">
      <c r="B11" s="10" t="s">
        <v>94</v>
      </c>
      <c r="C11" s="14" t="s">
        <v>122</v>
      </c>
      <c r="D11" s="14"/>
      <c r="E11" s="14"/>
      <c r="F11" s="9">
        <v>0.42986111111111108</v>
      </c>
      <c r="G11" s="11">
        <v>9.8244000000000007</v>
      </c>
      <c r="H11" s="11">
        <v>18.894200000000001</v>
      </c>
      <c r="I11" s="11">
        <v>13.8245</v>
      </c>
      <c r="J11" s="11">
        <f t="shared" si="1"/>
        <v>5.069700000000001</v>
      </c>
      <c r="K11" s="11">
        <f t="shared" si="2"/>
        <v>4.0000999999999998</v>
      </c>
      <c r="L11" s="1" t="s">
        <v>1</v>
      </c>
      <c r="M11" s="1" t="s">
        <v>1</v>
      </c>
      <c r="N11" s="1">
        <v>85062</v>
      </c>
      <c r="O11" s="1" t="s">
        <v>1</v>
      </c>
      <c r="P11" s="1">
        <v>6590</v>
      </c>
      <c r="Q11" s="14">
        <v>0</v>
      </c>
      <c r="R11" s="14">
        <v>0</v>
      </c>
      <c r="S11" s="14">
        <f t="shared" si="5"/>
        <v>-0.73154884531715958</v>
      </c>
      <c r="T11" s="14">
        <v>0</v>
      </c>
      <c r="U11" s="14">
        <f t="shared" si="6"/>
        <v>2.0322943261060091</v>
      </c>
      <c r="V11" s="14">
        <f t="shared" si="7"/>
        <v>0</v>
      </c>
      <c r="W11" s="14">
        <f t="shared" si="8"/>
        <v>0</v>
      </c>
      <c r="X11" s="14">
        <f t="shared" si="9"/>
        <v>-1.3229329318715512E-3</v>
      </c>
      <c r="Y11" s="14">
        <f t="shared" si="10"/>
        <v>0</v>
      </c>
      <c r="Z11" s="14">
        <f t="shared" si="11"/>
        <v>1.335217372251648E-3</v>
      </c>
      <c r="AA11" s="14">
        <f t="shared" si="12"/>
        <v>0</v>
      </c>
      <c r="AB11" s="14">
        <f t="shared" si="13"/>
        <v>0</v>
      </c>
      <c r="AC11" s="14">
        <f t="shared" si="14"/>
        <v>-7.8878888471900065E-4</v>
      </c>
      <c r="AD11" s="14">
        <f t="shared" si="15"/>
        <v>0</v>
      </c>
      <c r="AE11" s="14">
        <f t="shared" si="16"/>
        <v>4.8897001486110581E-5</v>
      </c>
      <c r="AF11" s="14">
        <f t="shared" si="17"/>
        <v>0</v>
      </c>
      <c r="AG11" s="14">
        <f t="shared" si="18"/>
        <v>0</v>
      </c>
      <c r="AH11" s="14">
        <f t="shared" si="19"/>
        <v>-9.8621075024736789E-6</v>
      </c>
      <c r="AI11" s="14">
        <f t="shared" si="20"/>
        <v>0</v>
      </c>
      <c r="AJ11" s="14">
        <f t="shared" si="21"/>
        <v>6.9647444077487723E-6</v>
      </c>
      <c r="AK11" s="14">
        <f t="shared" si="22"/>
        <v>0</v>
      </c>
      <c r="AL11" s="14">
        <f t="shared" si="23"/>
        <v>0</v>
      </c>
      <c r="AM11" s="14">
        <f t="shared" si="24"/>
        <v>-2.4654652389874449E-3</v>
      </c>
      <c r="AN11" s="14">
        <f t="shared" si="25"/>
        <v>0</v>
      </c>
      <c r="AO11" s="14">
        <f t="shared" si="26"/>
        <v>1.741142573372859E-3</v>
      </c>
      <c r="AP11" s="14"/>
      <c r="AQ11" s="14"/>
      <c r="AR11" s="14"/>
      <c r="AS11" s="14"/>
      <c r="AT11" s="14"/>
      <c r="BF11" s="14"/>
      <c r="BH11"/>
    </row>
    <row r="12" spans="2:60" x14ac:dyDescent="0.25">
      <c r="B12" s="10" t="s">
        <v>95</v>
      </c>
      <c r="C12" s="14" t="s">
        <v>117</v>
      </c>
      <c r="D12" s="12">
        <f>E12*1440</f>
        <v>0.99999999999991651</v>
      </c>
      <c r="E12" s="9">
        <f>F12-$F$3</f>
        <v>6.9444444444438647E-4</v>
      </c>
      <c r="F12" s="9">
        <v>0.43263888888888885</v>
      </c>
      <c r="G12" s="11">
        <v>9.8932000000000002</v>
      </c>
      <c r="H12" s="11">
        <v>18.972899999999999</v>
      </c>
      <c r="I12" s="11">
        <v>14.624499999999999</v>
      </c>
      <c r="J12" s="11">
        <f t="shared" si="1"/>
        <v>4.3483999999999998</v>
      </c>
      <c r="K12" s="11">
        <f t="shared" si="2"/>
        <v>4.7312999999999992</v>
      </c>
      <c r="L12" s="1" t="s">
        <v>1</v>
      </c>
      <c r="M12" s="1" t="s">
        <v>1</v>
      </c>
      <c r="N12" s="1">
        <v>70576</v>
      </c>
      <c r="O12" s="1" t="s">
        <v>1</v>
      </c>
      <c r="P12" s="1">
        <v>4345</v>
      </c>
      <c r="Q12" s="14">
        <v>0</v>
      </c>
      <c r="R12" s="14">
        <v>0</v>
      </c>
      <c r="S12" s="14">
        <f t="shared" si="5"/>
        <v>-0.9402417414605333</v>
      </c>
      <c r="T12" s="14">
        <v>0</v>
      </c>
      <c r="U12" s="14">
        <f t="shared" si="6"/>
        <v>1.6045612163243532</v>
      </c>
      <c r="V12" s="14">
        <f t="shared" si="7"/>
        <v>0</v>
      </c>
      <c r="W12" s="14">
        <f t="shared" si="8"/>
        <v>0</v>
      </c>
      <c r="X12" s="14">
        <f t="shared" si="9"/>
        <v>-1.7003331652572285E-3</v>
      </c>
      <c r="Y12" s="14">
        <f t="shared" si="10"/>
        <v>0</v>
      </c>
      <c r="Z12" s="14">
        <f t="shared" si="11"/>
        <v>1.0541967191251E-3</v>
      </c>
      <c r="AA12" s="14">
        <f t="shared" si="12"/>
        <v>0</v>
      </c>
      <c r="AB12" s="14">
        <f t="shared" si="13"/>
        <v>0</v>
      </c>
      <c r="AC12" s="14">
        <f t="shared" si="14"/>
        <v>-1.0138109565211127E-3</v>
      </c>
      <c r="AD12" s="14">
        <f t="shared" si="15"/>
        <v>0</v>
      </c>
      <c r="AE12" s="14">
        <f t="shared" si="16"/>
        <v>3.8605742864763932E-5</v>
      </c>
      <c r="AF12" s="14">
        <f t="shared" si="17"/>
        <v>0</v>
      </c>
      <c r="AG12" s="14">
        <f t="shared" si="18"/>
        <v>0</v>
      </c>
      <c r="AH12" s="14">
        <f t="shared" si="19"/>
        <v>-1.2190372514392871E-5</v>
      </c>
      <c r="AI12" s="14">
        <f t="shared" si="20"/>
        <v>0</v>
      </c>
      <c r="AJ12" s="14">
        <f t="shared" si="21"/>
        <v>4.7667243646596416E-6</v>
      </c>
      <c r="AK12" s="14">
        <f t="shared" si="22"/>
        <v>0</v>
      </c>
      <c r="AL12" s="14">
        <f t="shared" si="23"/>
        <v>0</v>
      </c>
      <c r="AM12" s="14">
        <f t="shared" si="24"/>
        <v>-2.576537635405253E-3</v>
      </c>
      <c r="AN12" s="14">
        <f t="shared" si="25"/>
        <v>0</v>
      </c>
      <c r="AO12" s="14">
        <f t="shared" si="26"/>
        <v>1.007487237051052E-3</v>
      </c>
      <c r="AP12" s="14">
        <f t="shared" ref="AP12:AP13" si="28">AK12-(AVERAGE($AK$9:$AK$11))</f>
        <v>0</v>
      </c>
      <c r="AQ12" s="14">
        <f t="shared" ref="AQ12:AQ37" si="29">IF(AL12-(AVERAGE($AL$9:$AL$11))&lt;0,0,AL12-(AVERAGE($AL$9:$AL$11)))</f>
        <v>0</v>
      </c>
      <c r="AR12" s="14">
        <f t="shared" ref="AR12:AR13" si="30">IF(AM12-(AVERAGE($AM$9:$AM$11))&lt;0,0,AM12-(AVERAGE($AM$9:$AM$11)))</f>
        <v>0</v>
      </c>
      <c r="AS12" s="14">
        <f t="shared" ref="AS12:AS37" si="31">IF(AN12-(AVERAGE($AN$9:$AN$11))&lt;0,0,AN12-(AVERAGE($AN$9:$AN$11)))</f>
        <v>0</v>
      </c>
      <c r="AT12" s="14">
        <f>IF(AO12-(AVERAGE($AO$9:$AO$11))&lt;0,0,AO12-(AVERAGE($AO$9:$AO$11)))</f>
        <v>0</v>
      </c>
      <c r="AU12" s="10">
        <f>$AU$9+(($AU$20-$AU$9)/($D$20))*D12</f>
        <v>3.0231859920042063E-2</v>
      </c>
      <c r="AV12" s="10">
        <f>$AV$9+(($AV$20-$AV$9)/($D$20))*D12</f>
        <v>6.0109390827561286</v>
      </c>
      <c r="AW12" s="10">
        <f>$AW$9+(($AW$20-$AW$9)/($D$20))*D12</f>
        <v>0.31289400230971415</v>
      </c>
      <c r="AX12" s="10">
        <f>$AX$9+(($AX$20-$AX$9)/($D$20))*D12</f>
        <v>5.3124332881786865E-6</v>
      </c>
      <c r="AY12" s="10">
        <f>$AY$9+(($AY$20-$AY$9)/($D$20))*D12</f>
        <v>0.32616345560518528</v>
      </c>
      <c r="AZ12" s="10">
        <f t="shared" ref="AZ12:AZ16" si="32">AP12/AU12</f>
        <v>0</v>
      </c>
      <c r="BA12" s="10">
        <f t="shared" ref="BA12:BA16" si="33">AQ12/AV12</f>
        <v>0</v>
      </c>
      <c r="BB12" s="10">
        <f t="shared" ref="BB12:BB37" si="34">AR12/AW12</f>
        <v>0</v>
      </c>
      <c r="BC12" s="10">
        <f t="shared" ref="BC12" si="35">AS12/AX12</f>
        <v>0</v>
      </c>
      <c r="BD12" s="10">
        <f t="shared" ref="BD12:BD37" si="36">AT12/AY12</f>
        <v>0</v>
      </c>
      <c r="BG12" s="22">
        <v>0.99999999999991651</v>
      </c>
      <c r="BH12" s="21">
        <v>0</v>
      </c>
    </row>
    <row r="13" spans="2:60" x14ac:dyDescent="0.25">
      <c r="B13" s="10" t="s">
        <v>96</v>
      </c>
      <c r="C13" s="14" t="s">
        <v>117</v>
      </c>
      <c r="D13" s="12">
        <f t="shared" ref="D13:D37" si="37">E13*1440</f>
        <v>21.999999999999922</v>
      </c>
      <c r="E13" s="9">
        <f t="shared" ref="E13:E16" si="38">F13-$F$3</f>
        <v>1.5277777777777724E-2</v>
      </c>
      <c r="F13" s="9">
        <v>0.44722222222222219</v>
      </c>
      <c r="G13" s="11">
        <v>9.8963000000000001</v>
      </c>
      <c r="H13" s="11">
        <v>18.782399999999999</v>
      </c>
      <c r="I13" s="11">
        <v>13.590999999999999</v>
      </c>
      <c r="J13" s="11">
        <f t="shared" si="1"/>
        <v>5.1913999999999998</v>
      </c>
      <c r="K13" s="11">
        <f t="shared" si="2"/>
        <v>3.6946999999999992</v>
      </c>
      <c r="L13" s="1" t="s">
        <v>1</v>
      </c>
      <c r="M13" s="1" t="s">
        <v>1</v>
      </c>
      <c r="N13" s="1">
        <v>85642</v>
      </c>
      <c r="O13" s="1" t="s">
        <v>1</v>
      </c>
      <c r="P13" s="1">
        <v>4546</v>
      </c>
      <c r="Q13" s="14">
        <v>0</v>
      </c>
      <c r="R13" s="14">
        <v>0</v>
      </c>
      <c r="S13" s="14">
        <f t="shared" si="5"/>
        <v>-0.72319306181839138</v>
      </c>
      <c r="T13" s="14">
        <v>0</v>
      </c>
      <c r="U13" s="14">
        <f t="shared" si="6"/>
        <v>1.6428571428571428</v>
      </c>
      <c r="V13" s="14">
        <f t="shared" si="7"/>
        <v>0</v>
      </c>
      <c r="W13" s="14">
        <f t="shared" si="8"/>
        <v>0</v>
      </c>
      <c r="X13" s="14">
        <f t="shared" si="9"/>
        <v>-1.3078223329923788E-3</v>
      </c>
      <c r="Y13" s="14">
        <f t="shared" si="10"/>
        <v>0</v>
      </c>
      <c r="Z13" s="14">
        <f t="shared" si="11"/>
        <v>1.079357142857143E-3</v>
      </c>
      <c r="AA13" s="14">
        <f t="shared" si="12"/>
        <v>0</v>
      </c>
      <c r="AB13" s="14">
        <f t="shared" si="13"/>
        <v>0</v>
      </c>
      <c r="AC13" s="14">
        <f t="shared" si="14"/>
        <v>-7.7977930294037144E-4</v>
      </c>
      <c r="AD13" s="14">
        <f t="shared" si="15"/>
        <v>0</v>
      </c>
      <c r="AE13" s="14">
        <f t="shared" si="16"/>
        <v>3.9527142857142853E-5</v>
      </c>
      <c r="AF13" s="14">
        <f t="shared" si="17"/>
        <v>0</v>
      </c>
      <c r="AG13" s="14">
        <f t="shared" si="18"/>
        <v>0</v>
      </c>
      <c r="AH13" s="14">
        <f t="shared" si="19"/>
        <v>-9.6704794500704255E-6</v>
      </c>
      <c r="AI13" s="14">
        <f t="shared" si="20"/>
        <v>0</v>
      </c>
      <c r="AJ13" s="14">
        <f t="shared" si="21"/>
        <v>5.7494156061428576E-6</v>
      </c>
      <c r="AK13" s="14">
        <f t="shared" si="22"/>
        <v>0</v>
      </c>
      <c r="AL13" s="14">
        <f t="shared" si="23"/>
        <v>0</v>
      </c>
      <c r="AM13" s="14">
        <f t="shared" si="24"/>
        <v>-2.6173923322787849E-3</v>
      </c>
      <c r="AN13" s="14">
        <f t="shared" si="25"/>
        <v>0</v>
      </c>
      <c r="AO13" s="14">
        <f t="shared" si="26"/>
        <v>1.5561251539077214E-3</v>
      </c>
      <c r="AP13" s="14">
        <f t="shared" si="28"/>
        <v>0</v>
      </c>
      <c r="AQ13" s="14">
        <f t="shared" si="29"/>
        <v>0</v>
      </c>
      <c r="AR13" s="14">
        <f t="shared" si="30"/>
        <v>0</v>
      </c>
      <c r="AS13" s="14">
        <f t="shared" si="31"/>
        <v>0</v>
      </c>
      <c r="AT13" s="14">
        <f t="shared" ref="AT13:AT19" si="39">IF(AO13-(AVERAGE($AO$9:$AO$11))&lt;0,0,AO13-(AVERAGE($AO$9:$AO$11)))</f>
        <v>0</v>
      </c>
      <c r="AU13" s="10">
        <f t="shared" ref="AU13:AU19" si="40">$AU$9+(($AU$20-$AU$9)/($D$20))*D13</f>
        <v>2.9476852196509588E-2</v>
      </c>
      <c r="AV13" s="10">
        <f t="shared" ref="AV13:AV19" si="41">$AV$9+(($AV$20-$AV$9)/($D$20))*D13</f>
        <v>5.7075505647452722</v>
      </c>
      <c r="AW13" s="10">
        <f t="shared" ref="AW13:AW19" si="42">$AW$9+(($AW$20-$AW$9)/($D$20))*D13</f>
        <v>0.31142137581512602</v>
      </c>
      <c r="AX13" s="10">
        <f t="shared" ref="AX13:AX19" si="43">$AX$9+(($AX$20-$AX$9)/($D$20))*D13</f>
        <v>5.2205162956335931E-6</v>
      </c>
      <c r="AY13" s="10">
        <f t="shared" ref="AY13:AY19" si="44">$AY$9+(($AY$20-$AY$9)/($D$20))*D13</f>
        <v>0.3202210359107433</v>
      </c>
      <c r="AZ13" s="10">
        <f t="shared" si="32"/>
        <v>0</v>
      </c>
      <c r="BA13" s="10">
        <f t="shared" si="33"/>
        <v>0</v>
      </c>
      <c r="BB13" s="10">
        <f t="shared" si="34"/>
        <v>0</v>
      </c>
      <c r="BC13" s="10">
        <f t="shared" ref="BC13:BC28" si="45">AS13/AX13</f>
        <v>0</v>
      </c>
      <c r="BD13" s="10">
        <f t="shared" si="36"/>
        <v>0</v>
      </c>
      <c r="BF13" s="14"/>
      <c r="BG13" s="22">
        <v>12</v>
      </c>
      <c r="BH13" s="21">
        <v>0</v>
      </c>
    </row>
    <row r="14" spans="2:60" x14ac:dyDescent="0.25">
      <c r="B14" s="10" t="s">
        <v>97</v>
      </c>
      <c r="C14" s="14" t="s">
        <v>117</v>
      </c>
      <c r="D14" s="12">
        <f t="shared" si="37"/>
        <v>41.000000000000014</v>
      </c>
      <c r="E14" s="9">
        <f t="shared" si="38"/>
        <v>2.8472222222222232E-2</v>
      </c>
      <c r="F14" s="9">
        <v>0.4604166666666667</v>
      </c>
      <c r="G14" s="11">
        <v>9.8274000000000008</v>
      </c>
      <c r="H14" s="11">
        <v>18.8933</v>
      </c>
      <c r="I14" s="11">
        <v>14.191599999999999</v>
      </c>
      <c r="J14" s="11">
        <f t="shared" si="1"/>
        <v>4.7017000000000007</v>
      </c>
      <c r="K14" s="11">
        <f t="shared" si="2"/>
        <v>4.3641999999999985</v>
      </c>
      <c r="L14" s="1" t="s">
        <v>1</v>
      </c>
      <c r="M14" s="1">
        <v>1028</v>
      </c>
      <c r="N14" s="1">
        <v>752060</v>
      </c>
      <c r="O14" s="1">
        <v>11138</v>
      </c>
      <c r="P14" s="1">
        <v>124979</v>
      </c>
      <c r="Q14" s="14">
        <v>0</v>
      </c>
      <c r="R14" s="14">
        <v>0</v>
      </c>
      <c r="S14" s="14">
        <f t="shared" si="5"/>
        <v>8.8775733652197708</v>
      </c>
      <c r="T14" s="14">
        <v>0</v>
      </c>
      <c r="U14" s="14">
        <f t="shared" si="6"/>
        <v>24.588595053919139</v>
      </c>
      <c r="V14" s="14">
        <f t="shared" si="7"/>
        <v>0</v>
      </c>
      <c r="W14" s="14">
        <f t="shared" si="8"/>
        <v>0</v>
      </c>
      <c r="X14" s="14">
        <f t="shared" si="9"/>
        <v>1.6054203673663434E-2</v>
      </c>
      <c r="Y14" s="14">
        <f t="shared" si="10"/>
        <v>0</v>
      </c>
      <c r="Z14" s="14">
        <f t="shared" si="11"/>
        <v>1.6154706950424876E-2</v>
      </c>
      <c r="AA14" s="14">
        <f t="shared" si="12"/>
        <v>0</v>
      </c>
      <c r="AB14" s="14">
        <f t="shared" si="13"/>
        <v>0</v>
      </c>
      <c r="AC14" s="14">
        <f t="shared" si="14"/>
        <v>9.5721990931813914E-3</v>
      </c>
      <c r="AD14" s="14">
        <f t="shared" si="15"/>
        <v>0</v>
      </c>
      <c r="AE14" s="14">
        <f t="shared" si="16"/>
        <v>5.9160159699729457E-4</v>
      </c>
      <c r="AF14" s="14">
        <f t="shared" si="17"/>
        <v>0</v>
      </c>
      <c r="AG14" s="14">
        <f t="shared" si="18"/>
        <v>0</v>
      </c>
      <c r="AH14" s="14">
        <f t="shared" si="19"/>
        <v>1.172570406949256E-4</v>
      </c>
      <c r="AI14" s="14">
        <f t="shared" si="20"/>
        <v>0</v>
      </c>
      <c r="AJ14" s="14">
        <f t="shared" si="21"/>
        <v>7.853645335842824E-5</v>
      </c>
      <c r="AK14" s="14">
        <f t="shared" si="22"/>
        <v>0</v>
      </c>
      <c r="AL14" s="14">
        <f t="shared" si="23"/>
        <v>0</v>
      </c>
      <c r="AM14" s="14">
        <f t="shared" si="24"/>
        <v>2.6867934717686091E-2</v>
      </c>
      <c r="AN14" s="14">
        <f t="shared" si="25"/>
        <v>0</v>
      </c>
      <c r="AO14" s="14">
        <f t="shared" si="26"/>
        <v>1.7995612794653837E-2</v>
      </c>
      <c r="AP14" s="14">
        <f>AK14-(AVERAGE($AK$9:$AK$11))</f>
        <v>0</v>
      </c>
      <c r="AQ14" s="14">
        <f>IF(AL14-(AVERAGE($AL$9:$AL$11))&lt;0,0,AL14-(AVERAGE($AL$9:$AL$11)))</f>
        <v>0</v>
      </c>
      <c r="AR14" s="14">
        <f>IF(AM14-(AVERAGE($AM$9:$AM$11))&lt;0,0,AM14-(AVERAGE($AM$9:$AM$11)))</f>
        <v>2.9213488855704434E-2</v>
      </c>
      <c r="AS14" s="14">
        <f>IF(AN14-(AVERAGE($AN$9:$AN$11))&lt;0,0,AN14-(AVERAGE($AN$9:$AN$11)))</f>
        <v>0</v>
      </c>
      <c r="AT14" s="14">
        <f t="shared" si="39"/>
        <v>1.6346539797087146E-2</v>
      </c>
      <c r="AU14" s="10">
        <f t="shared" si="40"/>
        <v>2.8793749970456393E-2</v>
      </c>
      <c r="AV14" s="10">
        <f t="shared" si="41"/>
        <v>5.4330561913068767</v>
      </c>
      <c r="AW14" s="10">
        <f t="shared" si="42"/>
        <v>0.31008899946287966</v>
      </c>
      <c r="AX14" s="10">
        <f t="shared" si="43"/>
        <v>5.1373533023785089E-6</v>
      </c>
      <c r="AY14" s="10">
        <f t="shared" si="44"/>
        <v>0.31484456094910535</v>
      </c>
      <c r="AZ14" s="10">
        <f t="shared" si="32"/>
        <v>0</v>
      </c>
      <c r="BA14" s="10">
        <f t="shared" si="33"/>
        <v>0</v>
      </c>
      <c r="BB14" s="10">
        <f t="shared" si="34"/>
        <v>9.4210013597085182E-2</v>
      </c>
      <c r="BC14" s="10">
        <f t="shared" si="45"/>
        <v>0</v>
      </c>
      <c r="BD14" s="10">
        <f t="shared" si="36"/>
        <v>5.1919397139369883E-2</v>
      </c>
      <c r="BG14" s="22">
        <v>21.999999999999922</v>
      </c>
      <c r="BH14" s="21">
        <v>0</v>
      </c>
    </row>
    <row r="15" spans="2:60" x14ac:dyDescent="0.25">
      <c r="B15" s="10" t="s">
        <v>98</v>
      </c>
      <c r="C15" s="14" t="s">
        <v>117</v>
      </c>
      <c r="D15" s="12">
        <f t="shared" si="37"/>
        <v>62.000000000000021</v>
      </c>
      <c r="E15" s="9">
        <f t="shared" si="38"/>
        <v>4.3055555555555569E-2</v>
      </c>
      <c r="F15" s="9">
        <v>0.47500000000000003</v>
      </c>
      <c r="G15" s="11">
        <v>9.8888999999999996</v>
      </c>
      <c r="H15" s="11">
        <v>19.009499999999999</v>
      </c>
      <c r="I15" s="11">
        <v>14.538600000000001</v>
      </c>
      <c r="J15" s="11">
        <f t="shared" si="1"/>
        <v>4.4708999999999985</v>
      </c>
      <c r="K15" s="11">
        <f t="shared" si="2"/>
        <v>4.6497000000000011</v>
      </c>
      <c r="L15" s="1">
        <v>38973</v>
      </c>
      <c r="M15" s="1">
        <v>5678</v>
      </c>
      <c r="N15" s="1">
        <v>3339977</v>
      </c>
      <c r="O15" s="1">
        <v>51594</v>
      </c>
      <c r="P15" s="1">
        <v>665992</v>
      </c>
      <c r="Q15" s="14">
        <v>0</v>
      </c>
      <c r="R15" s="14">
        <f t="shared" si="4"/>
        <v>1080.6792759812895</v>
      </c>
      <c r="S15" s="14">
        <f t="shared" si="5"/>
        <v>46.1604598562229</v>
      </c>
      <c r="T15" s="14">
        <f t="shared" si="0"/>
        <v>3.0637600000000002E-4</v>
      </c>
      <c r="U15" s="14">
        <f t="shared" si="6"/>
        <v>127.66617764737262</v>
      </c>
      <c r="V15" s="14">
        <f t="shared" si="7"/>
        <v>0</v>
      </c>
      <c r="W15" s="14">
        <f t="shared" si="8"/>
        <v>0.65895077803737168</v>
      </c>
      <c r="X15" s="14">
        <f t="shared" si="9"/>
        <v>8.3476575603993491E-2</v>
      </c>
      <c r="Y15" s="14">
        <f t="shared" si="10"/>
        <v>1.8499902008000001E-6</v>
      </c>
      <c r="Z15" s="14">
        <f t="shared" si="11"/>
        <v>8.3876678714323818E-2</v>
      </c>
      <c r="AA15" s="14">
        <f t="shared" si="12"/>
        <v>0</v>
      </c>
      <c r="AB15" s="14">
        <f t="shared" si="13"/>
        <v>1.5994053284523082E-3</v>
      </c>
      <c r="AC15" s="14">
        <f t="shared" si="14"/>
        <v>4.9772285037673065E-2</v>
      </c>
      <c r="AD15" s="14">
        <f t="shared" si="15"/>
        <v>1.0739826854399999E-8</v>
      </c>
      <c r="AE15" s="14">
        <f t="shared" si="16"/>
        <v>3.0716482341957849E-3</v>
      </c>
      <c r="AF15" s="14">
        <f t="shared" si="17"/>
        <v>0</v>
      </c>
      <c r="AG15" s="14">
        <f t="shared" si="18"/>
        <v>2.9535397884829888E-3</v>
      </c>
      <c r="AH15" s="14">
        <f t="shared" si="19"/>
        <v>6.0464161560756281E-4</v>
      </c>
      <c r="AI15" s="14">
        <f t="shared" si="20"/>
        <v>8.32105816168162E-9</v>
      </c>
      <c r="AJ15" s="14">
        <f t="shared" si="21"/>
        <v>3.8928648565841038E-4</v>
      </c>
      <c r="AK15" s="14">
        <f t="shared" si="22"/>
        <v>0</v>
      </c>
      <c r="AL15" s="14">
        <f t="shared" si="23"/>
        <v>0.63521082832935205</v>
      </c>
      <c r="AM15" s="14">
        <f t="shared" si="24"/>
        <v>0.13003884457224393</v>
      </c>
      <c r="AN15" s="14">
        <f t="shared" si="25"/>
        <v>1.7895903309206226E-6</v>
      </c>
      <c r="AO15" s="14">
        <f t="shared" si="26"/>
        <v>8.3722925276557697E-2</v>
      </c>
      <c r="AP15" s="14">
        <f t="shared" ref="AP15:AP37" si="46">AK15-(AVERAGE($AK$11:$AK$13))</f>
        <v>0</v>
      </c>
      <c r="AQ15" s="14">
        <f t="shared" si="29"/>
        <v>0.63521082832935205</v>
      </c>
      <c r="AR15" s="14">
        <f t="shared" ref="AR15:AR37" si="47">IF(AM15-(AVERAGE($AM$9:$AM$11))&lt;0,0,AM15-(AVERAGE($AM$9:$AM$11)))</f>
        <v>0.13238439871026228</v>
      </c>
      <c r="AS15" s="14">
        <f t="shared" si="31"/>
        <v>1.7895903309206226E-6</v>
      </c>
      <c r="AT15" s="14">
        <f t="shared" si="39"/>
        <v>8.2073852278991E-2</v>
      </c>
      <c r="AU15" s="10">
        <f t="shared" si="40"/>
        <v>2.8038742246923917E-2</v>
      </c>
      <c r="AV15" s="10">
        <f t="shared" si="41"/>
        <v>5.1296676732960202</v>
      </c>
      <c r="AW15" s="10">
        <f t="shared" si="42"/>
        <v>0.30861637296829153</v>
      </c>
      <c r="AX15" s="10">
        <f t="shared" si="43"/>
        <v>5.0454363098334155E-6</v>
      </c>
      <c r="AY15" s="10">
        <f t="shared" si="44"/>
        <v>0.30890214125466336</v>
      </c>
      <c r="AZ15" s="10">
        <f t="shared" si="32"/>
        <v>0</v>
      </c>
      <c r="BA15" s="10">
        <f t="shared" si="33"/>
        <v>0.12383079544043898</v>
      </c>
      <c r="BB15" s="10">
        <f t="shared" si="34"/>
        <v>0.42896103481801978</v>
      </c>
      <c r="BC15" s="10">
        <f t="shared" si="45"/>
        <v>0.35469486106340509</v>
      </c>
      <c r="BD15" s="10">
        <f t="shared" si="36"/>
        <v>0.26569531679396208</v>
      </c>
      <c r="BF15" s="14"/>
      <c r="BG15" s="22">
        <v>32</v>
      </c>
      <c r="BH15" s="21">
        <v>8.1828948785127253E-2</v>
      </c>
    </row>
    <row r="16" spans="2:60" x14ac:dyDescent="0.25">
      <c r="B16" s="10" t="s">
        <v>99</v>
      </c>
      <c r="C16" s="14" t="s">
        <v>117</v>
      </c>
      <c r="D16" s="12">
        <f t="shared" si="37"/>
        <v>81.999999999999943</v>
      </c>
      <c r="E16" s="9">
        <f t="shared" si="38"/>
        <v>5.6944444444444409E-2</v>
      </c>
      <c r="F16" s="9">
        <v>0.48888888888888887</v>
      </c>
      <c r="G16" s="11">
        <v>10.036799999999999</v>
      </c>
      <c r="H16" s="11">
        <v>18.956</v>
      </c>
      <c r="I16" s="11">
        <v>14.778700000000001</v>
      </c>
      <c r="J16" s="11">
        <f t="shared" si="1"/>
        <v>4.1772999999999989</v>
      </c>
      <c r="K16" s="11">
        <f t="shared" si="2"/>
        <v>4.7419000000000011</v>
      </c>
      <c r="L16" s="1">
        <v>66057</v>
      </c>
      <c r="M16" s="1">
        <v>9688</v>
      </c>
      <c r="N16" s="1">
        <v>5144967</v>
      </c>
      <c r="O16" s="1">
        <v>92878</v>
      </c>
      <c r="P16" s="1">
        <v>1116016</v>
      </c>
      <c r="Q16" s="14">
        <f t="shared" si="3"/>
        <v>10.918397490093815</v>
      </c>
      <c r="R16" s="14">
        <f t="shared" si="4"/>
        <v>1986.8325311278331</v>
      </c>
      <c r="S16" s="14">
        <f t="shared" si="5"/>
        <v>72.164090300087878</v>
      </c>
      <c r="T16" s="14">
        <f t="shared" si="0"/>
        <v>4.7151199999999999E-4</v>
      </c>
      <c r="U16" s="14">
        <f t="shared" si="6"/>
        <v>213.40789924932361</v>
      </c>
      <c r="V16" s="14">
        <f t="shared" si="7"/>
        <v>1.3518067932485152E-2</v>
      </c>
      <c r="W16" s="14">
        <f t="shared" si="8"/>
        <v>1.2114832506877031</v>
      </c>
      <c r="X16" s="14">
        <f t="shared" si="9"/>
        <v>0.13050154089867891</v>
      </c>
      <c r="Y16" s="14">
        <f t="shared" si="10"/>
        <v>2.8471309096E-6</v>
      </c>
      <c r="Z16" s="14">
        <f t="shared" si="11"/>
        <v>0.1402089898068056</v>
      </c>
      <c r="AA16" s="14">
        <f t="shared" si="12"/>
        <v>6.2380080380152988E-4</v>
      </c>
      <c r="AB16" s="14">
        <f t="shared" si="13"/>
        <v>2.9405121460691929E-3</v>
      </c>
      <c r="AC16" s="14">
        <f t="shared" si="14"/>
        <v>7.7810569545618241E-2</v>
      </c>
      <c r="AD16" s="14">
        <f t="shared" si="15"/>
        <v>1.6528570252800001E-8</v>
      </c>
      <c r="AE16" s="14">
        <f t="shared" si="16"/>
        <v>5.134594055938726E-3</v>
      </c>
      <c r="AF16" s="14">
        <f t="shared" si="17"/>
        <v>5.9427026205916681E-5</v>
      </c>
      <c r="AG16" s="14">
        <f t="shared" si="18"/>
        <v>5.0746725976431864E-3</v>
      </c>
      <c r="AH16" s="14">
        <f t="shared" si="19"/>
        <v>9.1411402652441845E-4</v>
      </c>
      <c r="AI16" s="14">
        <f t="shared" si="20"/>
        <v>1.1971696775953829E-8</v>
      </c>
      <c r="AJ16" s="14">
        <f t="shared" si="21"/>
        <v>6.1004274467382476E-4</v>
      </c>
      <c r="AK16" s="14">
        <f t="shared" si="22"/>
        <v>1.2532323795507427E-2</v>
      </c>
      <c r="AL16" s="14">
        <f t="shared" si="23"/>
        <v>1.0701770593313198</v>
      </c>
      <c r="AM16" s="14">
        <f t="shared" si="24"/>
        <v>0.19277378825458533</v>
      </c>
      <c r="AN16" s="14">
        <f t="shared" si="25"/>
        <v>2.5246624298179688E-6</v>
      </c>
      <c r="AO16" s="14">
        <f t="shared" si="26"/>
        <v>0.12864943264805764</v>
      </c>
      <c r="AP16" s="14">
        <f t="shared" si="46"/>
        <v>1.2532323795507427E-2</v>
      </c>
      <c r="AQ16" s="14">
        <f t="shared" si="29"/>
        <v>1.0701770593313198</v>
      </c>
      <c r="AR16" s="14">
        <f t="shared" si="47"/>
        <v>0.19511934239260367</v>
      </c>
      <c r="AS16" s="14">
        <f t="shared" si="31"/>
        <v>2.5246624298179688E-6</v>
      </c>
      <c r="AT16" s="14">
        <f t="shared" si="39"/>
        <v>0.12700035965049095</v>
      </c>
      <c r="AU16" s="10">
        <f t="shared" si="40"/>
        <v>2.7319687272131087E-2</v>
      </c>
      <c r="AV16" s="10">
        <f t="shared" si="41"/>
        <v>4.8407262275713965</v>
      </c>
      <c r="AW16" s="10">
        <f t="shared" si="42"/>
        <v>0.30721387154487428</v>
      </c>
      <c r="AX16" s="10">
        <f t="shared" si="43"/>
        <v>4.9578963169333272E-6</v>
      </c>
      <c r="AY16" s="10">
        <f t="shared" si="44"/>
        <v>0.30324269392662345</v>
      </c>
      <c r="AZ16" s="10">
        <f t="shared" si="32"/>
        <v>0.45872866957345065</v>
      </c>
      <c r="BA16" s="10">
        <f t="shared" si="33"/>
        <v>0.22107779060833815</v>
      </c>
      <c r="BB16" s="10">
        <f t="shared" si="34"/>
        <v>0.63512543040916325</v>
      </c>
      <c r="BC16" s="10">
        <f t="shared" si="45"/>
        <v>0.50922049765243604</v>
      </c>
      <c r="BD16" s="10">
        <f t="shared" si="36"/>
        <v>0.41880764877132243</v>
      </c>
      <c r="BG16" s="22">
        <v>41.000000000000014</v>
      </c>
      <c r="BH16" s="21">
        <v>0.18241036500017949</v>
      </c>
    </row>
    <row r="17" spans="2:60" x14ac:dyDescent="0.25">
      <c r="B17" s="10" t="s">
        <v>100</v>
      </c>
      <c r="C17" s="14" t="s">
        <v>117</v>
      </c>
      <c r="D17" s="12">
        <f t="shared" si="37"/>
        <v>101.99999999999996</v>
      </c>
      <c r="E17" s="9">
        <f>F17-$F$3</f>
        <v>7.0833333333333304E-2</v>
      </c>
      <c r="F17" s="9">
        <v>0.50277777777777777</v>
      </c>
      <c r="G17" s="11">
        <v>9.9050999999999991</v>
      </c>
      <c r="H17" s="11">
        <v>18.942699999999999</v>
      </c>
      <c r="I17" s="11">
        <v>14.119400000000001</v>
      </c>
      <c r="J17" s="11">
        <f t="shared" si="1"/>
        <v>4.8232999999999979</v>
      </c>
      <c r="K17" s="11">
        <f t="shared" si="2"/>
        <v>4.2143000000000015</v>
      </c>
      <c r="L17" s="1">
        <v>73234</v>
      </c>
      <c r="M17" s="1">
        <v>12293</v>
      </c>
      <c r="N17" s="1">
        <v>5815705</v>
      </c>
      <c r="O17" s="1">
        <v>104440</v>
      </c>
      <c r="P17" s="1">
        <v>1268787</v>
      </c>
      <c r="Q17" s="14">
        <f t="shared" si="3"/>
        <v>11.649468784060465</v>
      </c>
      <c r="R17" s="14">
        <f t="shared" si="4"/>
        <v>2575.4931869025827</v>
      </c>
      <c r="S17" s="14">
        <f t="shared" si="5"/>
        <v>81.827092907668586</v>
      </c>
      <c r="T17" s="14">
        <f t="shared" si="0"/>
        <v>5.1776000000000003E-4</v>
      </c>
      <c r="U17" s="14">
        <f t="shared" si="6"/>
        <v>242.51489921121819</v>
      </c>
      <c r="V17" s="14">
        <f t="shared" si="7"/>
        <v>1.4423207301545261E-2</v>
      </c>
      <c r="W17" s="14">
        <f t="shared" si="8"/>
        <v>1.5704226749405992</v>
      </c>
      <c r="X17" s="14">
        <f t="shared" si="9"/>
        <v>0.14797611481422787</v>
      </c>
      <c r="Y17" s="14">
        <f t="shared" si="10"/>
        <v>3.1263902079999999E-6</v>
      </c>
      <c r="Z17" s="14">
        <f t="shared" si="11"/>
        <v>0.15933228878177036</v>
      </c>
      <c r="AA17" s="14">
        <f t="shared" si="12"/>
        <v>6.6556910003972669E-4</v>
      </c>
      <c r="AB17" s="14">
        <f t="shared" si="13"/>
        <v>3.8117299166158221E-3</v>
      </c>
      <c r="AC17" s="14">
        <f t="shared" si="14"/>
        <v>8.8229653792229121E-2</v>
      </c>
      <c r="AD17" s="14">
        <f t="shared" si="15"/>
        <v>1.8149766144000004E-8</v>
      </c>
      <c r="AE17" s="14">
        <f t="shared" si="16"/>
        <v>5.8349084750219096E-3</v>
      </c>
      <c r="AF17" s="14">
        <f t="shared" si="17"/>
        <v>7.2372363635840641E-5</v>
      </c>
      <c r="AG17" s="14">
        <f t="shared" si="18"/>
        <v>7.5906834614285828E-3</v>
      </c>
      <c r="AH17" s="14">
        <f t="shared" si="19"/>
        <v>1.0855594245600562E-3</v>
      </c>
      <c r="AI17" s="14">
        <f t="shared" si="20"/>
        <v>1.5156006449707052E-8</v>
      </c>
      <c r="AJ17" s="14">
        <f t="shared" si="21"/>
        <v>7.9309748326739755E-4</v>
      </c>
      <c r="AK17" s="14">
        <f t="shared" si="22"/>
        <v>1.7173045021911259E-2</v>
      </c>
      <c r="AL17" s="14">
        <f t="shared" si="23"/>
        <v>1.8011730207694232</v>
      </c>
      <c r="AM17" s="14">
        <f t="shared" si="24"/>
        <v>0.25758949874476328</v>
      </c>
      <c r="AN17" s="14">
        <f t="shared" si="25"/>
        <v>3.5963283225463416E-6</v>
      </c>
      <c r="AO17" s="14">
        <f t="shared" si="26"/>
        <v>0.18819198520926303</v>
      </c>
      <c r="AP17" s="14">
        <f t="shared" si="46"/>
        <v>1.7173045021911259E-2</v>
      </c>
      <c r="AQ17" s="14">
        <f t="shared" si="29"/>
        <v>1.8011730207694232</v>
      </c>
      <c r="AR17" s="14">
        <f t="shared" si="47"/>
        <v>0.25993505288278163</v>
      </c>
      <c r="AS17" s="14">
        <f t="shared" si="31"/>
        <v>3.5963283225463416E-6</v>
      </c>
      <c r="AT17" s="14">
        <f t="shared" si="39"/>
        <v>0.18654291221169633</v>
      </c>
      <c r="AU17" s="10">
        <f t="shared" si="40"/>
        <v>2.660063229733825E-2</v>
      </c>
      <c r="AV17" s="10">
        <f t="shared" si="41"/>
        <v>4.5517847818467709</v>
      </c>
      <c r="AW17" s="10">
        <f t="shared" si="42"/>
        <v>0.30581137012145704</v>
      </c>
      <c r="AX17" s="10">
        <f t="shared" si="43"/>
        <v>4.8703563240332379E-6</v>
      </c>
      <c r="AY17" s="10">
        <f t="shared" si="44"/>
        <v>0.29758324659858348</v>
      </c>
      <c r="AZ17" s="10">
        <f t="shared" ref="AZ17:AZ37" si="48">AP17/AU17</f>
        <v>0.64558785031698862</v>
      </c>
      <c r="BA17" s="10">
        <f t="shared" ref="BA17:BA37" si="49">AQ17/AV17</f>
        <v>0.39570698244626651</v>
      </c>
      <c r="BB17" s="10">
        <f t="shared" si="34"/>
        <v>0.8499849197220658</v>
      </c>
      <c r="BC17" s="10">
        <f t="shared" si="45"/>
        <v>0.73841174716517477</v>
      </c>
      <c r="BD17" s="10">
        <f t="shared" si="36"/>
        <v>0.62685959086711662</v>
      </c>
      <c r="BF17" s="14"/>
      <c r="BG17" s="22">
        <v>54</v>
      </c>
      <c r="BH17" s="21">
        <v>0.35252844273768091</v>
      </c>
    </row>
    <row r="18" spans="2:60" x14ac:dyDescent="0.25">
      <c r="B18" s="10" t="s">
        <v>101</v>
      </c>
      <c r="C18" s="14" t="s">
        <v>117</v>
      </c>
      <c r="D18" s="12">
        <f t="shared" si="37"/>
        <v>124.99999999999987</v>
      </c>
      <c r="E18" s="9">
        <f t="shared" ref="E18:E27" si="50">F18-$F$3</f>
        <v>8.6805555555555469E-2</v>
      </c>
      <c r="F18" s="9">
        <v>0.51874999999999993</v>
      </c>
      <c r="G18" s="11">
        <v>9.9398999999999997</v>
      </c>
      <c r="H18" s="11">
        <v>18.971900000000002</v>
      </c>
      <c r="I18" s="11">
        <v>14.9076</v>
      </c>
      <c r="J18" s="11">
        <f t="shared" si="1"/>
        <v>4.0643000000000011</v>
      </c>
      <c r="K18" s="11">
        <f t="shared" si="2"/>
        <v>4.9677000000000007</v>
      </c>
      <c r="L18" s="1">
        <v>117325</v>
      </c>
      <c r="M18" s="1">
        <v>17816</v>
      </c>
      <c r="N18" s="1">
        <v>6983672</v>
      </c>
      <c r="O18" s="1">
        <v>150021</v>
      </c>
      <c r="P18" s="1">
        <v>1837144</v>
      </c>
      <c r="Q18" s="14">
        <f t="shared" si="3"/>
        <v>16.14071365270803</v>
      </c>
      <c r="R18" s="14">
        <f t="shared" si="4"/>
        <v>3823.5441664971872</v>
      </c>
      <c r="S18" s="14">
        <f t="shared" si="5"/>
        <v>98.653436676126944</v>
      </c>
      <c r="T18" s="14">
        <f t="shared" si="0"/>
        <v>7.0008400000000012E-4</v>
      </c>
      <c r="U18" s="14">
        <f t="shared" si="6"/>
        <v>350.80225202911248</v>
      </c>
      <c r="V18" s="14">
        <f t="shared" si="7"/>
        <v>1.9983817573417814E-2</v>
      </c>
      <c r="W18" s="14">
        <f t="shared" si="8"/>
        <v>2.3314293698153579</v>
      </c>
      <c r="X18" s="14">
        <f t="shared" si="9"/>
        <v>0.17840487488510798</v>
      </c>
      <c r="Y18" s="14">
        <f t="shared" si="10"/>
        <v>4.2273172172000008E-6</v>
      </c>
      <c r="Z18" s="14">
        <f t="shared" si="11"/>
        <v>0.23047707958312691</v>
      </c>
      <c r="AA18" s="14">
        <f t="shared" si="12"/>
        <v>9.2216739312016782E-4</v>
      </c>
      <c r="AB18" s="14">
        <f t="shared" si="13"/>
        <v>5.6588453664158369E-3</v>
      </c>
      <c r="AC18" s="14">
        <f t="shared" si="14"/>
        <v>0.1063725748288505</v>
      </c>
      <c r="AD18" s="14">
        <f t="shared" si="15"/>
        <v>2.4541024569600006E-8</v>
      </c>
      <c r="AE18" s="14">
        <f t="shared" si="16"/>
        <v>8.4403021838204452E-3</v>
      </c>
      <c r="AF18" s="14">
        <f t="shared" si="17"/>
        <v>8.58012807224451E-5</v>
      </c>
      <c r="AG18" s="14">
        <f t="shared" si="18"/>
        <v>9.5037398338673057E-3</v>
      </c>
      <c r="AH18" s="14">
        <f t="shared" si="19"/>
        <v>1.2535179729728251E-3</v>
      </c>
      <c r="AI18" s="14">
        <f t="shared" si="20"/>
        <v>1.7302997813620368E-8</v>
      </c>
      <c r="AJ18" s="14">
        <f t="shared" si="21"/>
        <v>9.7865688370826786E-4</v>
      </c>
      <c r="AK18" s="14">
        <f t="shared" si="22"/>
        <v>1.7271832180374237E-2</v>
      </c>
      <c r="AL18" s="14">
        <f t="shared" si="23"/>
        <v>1.9131066356396933</v>
      </c>
      <c r="AM18" s="14">
        <f t="shared" si="24"/>
        <v>0.25233367010343316</v>
      </c>
      <c r="AN18" s="14">
        <f t="shared" si="25"/>
        <v>3.4831003912515582E-6</v>
      </c>
      <c r="AO18" s="14">
        <f t="shared" si="26"/>
        <v>0.19700402272847953</v>
      </c>
      <c r="AP18" s="14">
        <f t="shared" si="46"/>
        <v>1.7271832180374237E-2</v>
      </c>
      <c r="AQ18" s="14">
        <f t="shared" si="29"/>
        <v>1.9131066356396933</v>
      </c>
      <c r="AR18" s="14">
        <f t="shared" si="47"/>
        <v>0.25467922424145151</v>
      </c>
      <c r="AS18" s="14">
        <f t="shared" si="31"/>
        <v>3.4831003912515582E-6</v>
      </c>
      <c r="AT18" s="14">
        <f t="shared" si="39"/>
        <v>0.19535494973091283</v>
      </c>
      <c r="AU18" s="10">
        <f t="shared" si="40"/>
        <v>2.5773719076326494E-2</v>
      </c>
      <c r="AV18" s="10">
        <f t="shared" si="41"/>
        <v>4.2195021192634528</v>
      </c>
      <c r="AW18" s="10">
        <f t="shared" si="42"/>
        <v>0.30419849348452715</v>
      </c>
      <c r="AX18" s="10">
        <f t="shared" si="43"/>
        <v>4.7696853321981362E-6</v>
      </c>
      <c r="AY18" s="10">
        <f t="shared" si="44"/>
        <v>0.29107488217133753</v>
      </c>
      <c r="AZ18" s="10">
        <f t="shared" si="48"/>
        <v>0.67013348478057422</v>
      </c>
      <c r="BA18" s="10">
        <f t="shared" si="49"/>
        <v>0.45339629690093414</v>
      </c>
      <c r="BB18" s="10">
        <f t="shared" si="34"/>
        <v>0.83721395633540696</v>
      </c>
      <c r="BC18" s="10">
        <f t="shared" si="45"/>
        <v>0.7302578993500084</v>
      </c>
      <c r="BD18" s="10">
        <f t="shared" si="36"/>
        <v>0.67115014622223435</v>
      </c>
      <c r="BG18" s="22">
        <v>62.000000000000021</v>
      </c>
      <c r="BH18" s="21">
        <v>0.48684635538168908</v>
      </c>
    </row>
    <row r="19" spans="2:60" x14ac:dyDescent="0.25">
      <c r="B19" s="10" t="s">
        <v>102</v>
      </c>
      <c r="C19" s="14" t="s">
        <v>117</v>
      </c>
      <c r="D19" s="12">
        <f t="shared" si="37"/>
        <v>139.99999999999997</v>
      </c>
      <c r="E19" s="9">
        <f t="shared" si="50"/>
        <v>9.722222222222221E-2</v>
      </c>
      <c r="F19" s="9">
        <v>0.52916666666666667</v>
      </c>
      <c r="G19" s="11">
        <v>9.8512000000000004</v>
      </c>
      <c r="H19" s="11">
        <v>18.879300000000001</v>
      </c>
      <c r="I19" s="11">
        <v>14.6236</v>
      </c>
      <c r="J19" s="11">
        <f t="shared" si="1"/>
        <v>4.2557000000000009</v>
      </c>
      <c r="K19" s="11">
        <f t="shared" si="2"/>
        <v>4.7723999999999993</v>
      </c>
      <c r="L19" s="1">
        <v>114673</v>
      </c>
      <c r="M19" s="1">
        <v>16589</v>
      </c>
      <c r="N19" s="1">
        <v>7106573</v>
      </c>
      <c r="O19" s="1">
        <v>144615</v>
      </c>
      <c r="P19" s="1">
        <v>1833856</v>
      </c>
      <c r="Q19" s="14">
        <f t="shared" si="3"/>
        <v>15.8705727760744</v>
      </c>
      <c r="R19" s="14">
        <f t="shared" si="4"/>
        <v>3546.2748288251641</v>
      </c>
      <c r="S19" s="14">
        <f t="shared" si="5"/>
        <v>100.42401279299267</v>
      </c>
      <c r="T19" s="14">
        <f t="shared" si="0"/>
        <v>6.7846000000000009E-4</v>
      </c>
      <c r="U19" s="14">
        <f t="shared" si="6"/>
        <v>350.17579926075524</v>
      </c>
      <c r="V19" s="14">
        <f t="shared" si="7"/>
        <v>1.9649356154057718E-2</v>
      </c>
      <c r="W19" s="14">
        <f t="shared" si="8"/>
        <v>2.1623627005031487</v>
      </c>
      <c r="X19" s="14">
        <f t="shared" si="9"/>
        <v>0.18160678473484793</v>
      </c>
      <c r="Y19" s="14">
        <f t="shared" si="10"/>
        <v>4.0967450180000006E-6</v>
      </c>
      <c r="Z19" s="14">
        <f t="shared" si="11"/>
        <v>0.23006550011431626</v>
      </c>
      <c r="AA19" s="14">
        <f t="shared" si="12"/>
        <v>9.0673343441545864E-4</v>
      </c>
      <c r="AB19" s="14">
        <f t="shared" si="13"/>
        <v>5.2484867466612425E-3</v>
      </c>
      <c r="AC19" s="14">
        <f t="shared" si="14"/>
        <v>0.10828168967398037</v>
      </c>
      <c r="AD19" s="14">
        <f t="shared" si="15"/>
        <v>2.3783008224000005E-8</v>
      </c>
      <c r="AE19" s="14">
        <f t="shared" si="16"/>
        <v>8.4252297302137708E-3</v>
      </c>
      <c r="AF19" s="14">
        <f t="shared" si="17"/>
        <v>8.7949059627227778E-5</v>
      </c>
      <c r="AG19" s="14">
        <f t="shared" si="18"/>
        <v>9.2274148226810203E-3</v>
      </c>
      <c r="AH19" s="14">
        <f t="shared" si="19"/>
        <v>1.2896275295961961E-3</v>
      </c>
      <c r="AI19" s="14">
        <f t="shared" si="20"/>
        <v>1.7548019801550824E-8</v>
      </c>
      <c r="AJ19" s="14">
        <f t="shared" si="21"/>
        <v>1.0192983152009681E-3</v>
      </c>
      <c r="AK19" s="14">
        <f t="shared" si="22"/>
        <v>1.8428685698438477E-2</v>
      </c>
      <c r="AL19" s="14">
        <f t="shared" si="23"/>
        <v>1.9334956882660763</v>
      </c>
      <c r="AM19" s="14">
        <f t="shared" si="24"/>
        <v>0.27022620266452857</v>
      </c>
      <c r="AN19" s="14">
        <f t="shared" si="25"/>
        <v>3.676980094198061E-6</v>
      </c>
      <c r="AO19" s="14">
        <f t="shared" si="26"/>
        <v>0.21358191165890711</v>
      </c>
      <c r="AP19" s="14">
        <f t="shared" si="46"/>
        <v>1.8428685698438477E-2</v>
      </c>
      <c r="AQ19" s="14">
        <f t="shared" si="29"/>
        <v>1.9334956882660763</v>
      </c>
      <c r="AR19" s="14">
        <f t="shared" si="47"/>
        <v>0.27257175680254692</v>
      </c>
      <c r="AS19" s="14">
        <f t="shared" si="31"/>
        <v>3.676980094198061E-6</v>
      </c>
      <c r="AT19" s="14">
        <f t="shared" si="39"/>
        <v>0.21193283866134041</v>
      </c>
      <c r="AU19" s="10">
        <f t="shared" si="40"/>
        <v>2.5234427845231867E-2</v>
      </c>
      <c r="AV19" s="10">
        <f t="shared" si="41"/>
        <v>4.0027960349699825</v>
      </c>
      <c r="AW19" s="10">
        <f t="shared" si="42"/>
        <v>0.30314661741696425</v>
      </c>
      <c r="AX19" s="10">
        <f t="shared" si="43"/>
        <v>4.7040303375230695E-6</v>
      </c>
      <c r="AY19" s="10">
        <f t="shared" si="44"/>
        <v>0.28683029667530757</v>
      </c>
      <c r="AZ19" s="10">
        <f t="shared" si="48"/>
        <v>0.73029932802382291</v>
      </c>
      <c r="BA19" s="10">
        <f t="shared" si="49"/>
        <v>0.48303627548701111</v>
      </c>
      <c r="BB19" s="10">
        <f t="shared" si="34"/>
        <v>0.89914167317802196</v>
      </c>
      <c r="BC19" s="10">
        <f t="shared" si="45"/>
        <v>0.78166589719193713</v>
      </c>
      <c r="BD19" s="10">
        <f t="shared" si="36"/>
        <v>0.73887884619541699</v>
      </c>
      <c r="BF19" s="14"/>
      <c r="BG19" s="22">
        <v>72</v>
      </c>
      <c r="BH19" s="21">
        <v>0.62466353228295601</v>
      </c>
    </row>
    <row r="20" spans="2:60" s="4" customFormat="1" x14ac:dyDescent="0.25">
      <c r="B20" s="4" t="s">
        <v>103</v>
      </c>
      <c r="C20" s="5" t="s">
        <v>43</v>
      </c>
      <c r="D20" s="6">
        <f t="shared" si="37"/>
        <v>147.99999999999994</v>
      </c>
      <c r="E20" s="7">
        <f t="shared" si="50"/>
        <v>0.10277777777777775</v>
      </c>
      <c r="F20" s="7">
        <v>0.53472222222222221</v>
      </c>
      <c r="G20" s="8">
        <v>9.9697999999999993</v>
      </c>
      <c r="H20" s="8">
        <v>18.974499999999999</v>
      </c>
      <c r="I20" s="8">
        <v>15.0594</v>
      </c>
      <c r="J20" s="8">
        <f t="shared" si="1"/>
        <v>3.9150999999999989</v>
      </c>
      <c r="K20" s="8">
        <f t="shared" si="2"/>
        <v>5.0896000000000008</v>
      </c>
      <c r="L20" s="13">
        <v>201465</v>
      </c>
      <c r="M20" s="13">
        <v>37455</v>
      </c>
      <c r="N20" s="13">
        <v>8575605</v>
      </c>
      <c r="O20" s="13">
        <v>224417</v>
      </c>
      <c r="P20" s="13">
        <v>2833279</v>
      </c>
      <c r="Q20" s="5">
        <f t="shared" si="3"/>
        <v>24.711472838210877</v>
      </c>
      <c r="R20" s="5">
        <f t="shared" si="4"/>
        <v>8261.4353829118936</v>
      </c>
      <c r="S20" s="5">
        <f t="shared" si="5"/>
        <v>121.58765649085906</v>
      </c>
      <c r="T20" s="5">
        <f t="shared" si="0"/>
        <v>9.9766799999999995E-4</v>
      </c>
      <c r="U20" s="5">
        <f t="shared" si="6"/>
        <v>540.5928628586671</v>
      </c>
      <c r="V20" s="5">
        <f t="shared" si="7"/>
        <v>3.0595274520988886E-2</v>
      </c>
      <c r="W20" s="5">
        <f t="shared" si="8"/>
        <v>5.0374605993365202</v>
      </c>
      <c r="X20" s="5">
        <f t="shared" si="9"/>
        <v>0.21987911799806953</v>
      </c>
      <c r="Y20" s="5">
        <f t="shared" si="10"/>
        <v>6.0242186843999989E-6</v>
      </c>
      <c r="Z20" s="5">
        <f t="shared" si="11"/>
        <v>0.35516951089814436</v>
      </c>
      <c r="AA20" s="5">
        <f t="shared" si="12"/>
        <v>1.4118405776655019E-3</v>
      </c>
      <c r="AB20" s="5">
        <f t="shared" si="13"/>
        <v>1.2226924366709604E-2</v>
      </c>
      <c r="AC20" s="5">
        <f t="shared" si="14"/>
        <v>0.13110128267298635</v>
      </c>
      <c r="AD20" s="5">
        <f t="shared" si="15"/>
        <v>3.4972653139200002E-8</v>
      </c>
      <c r="AE20" s="5">
        <f t="shared" si="16"/>
        <v>1.300666428037953E-2</v>
      </c>
      <c r="AF20" s="5">
        <f t="shared" si="17"/>
        <v>1.2696926308120989E-4</v>
      </c>
      <c r="AG20" s="5">
        <f t="shared" si="18"/>
        <v>1.9784392146719208E-2</v>
      </c>
      <c r="AH20" s="5">
        <f t="shared" si="19"/>
        <v>1.5281018231666733E-3</v>
      </c>
      <c r="AI20" s="5">
        <f t="shared" si="20"/>
        <v>2.37634153867117E-8</v>
      </c>
      <c r="AJ20" s="5">
        <f t="shared" si="21"/>
        <v>1.4567228706387442E-3</v>
      </c>
      <c r="AK20" s="5">
        <f t="shared" si="22"/>
        <v>2.4946805855314735E-2</v>
      </c>
      <c r="AL20" s="5">
        <f t="shared" si="23"/>
        <v>3.8872194566801328</v>
      </c>
      <c r="AM20" s="5">
        <f t="shared" si="24"/>
        <v>0.30024006270957898</v>
      </c>
      <c r="AN20" s="5">
        <f t="shared" si="25"/>
        <v>4.6690143403630337E-6</v>
      </c>
      <c r="AO20" s="5">
        <f t="shared" si="26"/>
        <v>0.28621559074165825</v>
      </c>
      <c r="AP20" s="5">
        <f t="shared" si="46"/>
        <v>2.4946805855314735E-2</v>
      </c>
      <c r="AQ20" s="5">
        <f t="shared" si="29"/>
        <v>3.8872194566801328</v>
      </c>
      <c r="AR20" s="5">
        <f t="shared" si="47"/>
        <v>0.30258561684759733</v>
      </c>
      <c r="AS20" s="5">
        <f t="shared" si="31"/>
        <v>4.6690143403630337E-6</v>
      </c>
      <c r="AT20" s="5">
        <f t="shared" ref="AT20:AT37" si="51">IF(AO20-(AVERAGE($AO$9:$AO$11))&lt;0,0,AO20-(AVERAGE($AO$9:$AO$11)))</f>
        <v>0.28456651774409158</v>
      </c>
      <c r="AU20" s="4">
        <f>AP20</f>
        <v>2.4946805855314735E-2</v>
      </c>
      <c r="AV20" s="4">
        <f t="shared" ref="AV20:AY20" si="52">AQ20</f>
        <v>3.8872194566801328</v>
      </c>
      <c r="AW20" s="4">
        <f t="shared" si="52"/>
        <v>0.30258561684759733</v>
      </c>
      <c r="AX20" s="4">
        <f t="shared" si="52"/>
        <v>4.6690143403630337E-6</v>
      </c>
      <c r="AY20" s="4">
        <f t="shared" si="52"/>
        <v>0.28456651774409158</v>
      </c>
      <c r="AZ20" s="4">
        <f t="shared" si="48"/>
        <v>1</v>
      </c>
      <c r="BA20" s="4">
        <f t="shared" si="49"/>
        <v>1</v>
      </c>
      <c r="BB20" s="4">
        <f t="shared" si="34"/>
        <v>1</v>
      </c>
      <c r="BC20" s="4">
        <f t="shared" si="45"/>
        <v>1</v>
      </c>
      <c r="BD20" s="4">
        <f t="shared" si="36"/>
        <v>1</v>
      </c>
      <c r="BG20" s="22">
        <v>81.999999999999943</v>
      </c>
      <c r="BH20" s="21">
        <v>0.74686860711337633</v>
      </c>
    </row>
    <row r="21" spans="2:60" x14ac:dyDescent="0.25">
      <c r="B21" s="10" t="s">
        <v>104</v>
      </c>
      <c r="C21" s="14" t="s">
        <v>117</v>
      </c>
      <c r="D21" s="12">
        <f t="shared" si="37"/>
        <v>159.99999999999991</v>
      </c>
      <c r="E21" s="9">
        <f t="shared" si="50"/>
        <v>0.11111111111111105</v>
      </c>
      <c r="F21" s="9">
        <v>0.54305555555555551</v>
      </c>
      <c r="G21" s="11">
        <v>9.9215999999999998</v>
      </c>
      <c r="H21" s="11">
        <v>19.092199999999998</v>
      </c>
      <c r="I21" s="11">
        <v>15.0656</v>
      </c>
      <c r="J21" s="11">
        <f t="shared" si="1"/>
        <v>4.0265999999999984</v>
      </c>
      <c r="K21" s="11">
        <f t="shared" si="2"/>
        <v>5.1440000000000001</v>
      </c>
      <c r="L21" s="1">
        <v>134996</v>
      </c>
      <c r="M21" s="1">
        <v>20817</v>
      </c>
      <c r="N21" s="1">
        <v>7474481</v>
      </c>
      <c r="O21" s="1">
        <v>168263</v>
      </c>
      <c r="P21" s="1">
        <v>2138788</v>
      </c>
      <c r="Q21" s="14">
        <f t="shared" si="3"/>
        <v>17.940736062584673</v>
      </c>
      <c r="R21" s="14">
        <f t="shared" si="4"/>
        <v>4501.6902808849118</v>
      </c>
      <c r="S21" s="14">
        <f t="shared" si="5"/>
        <v>105.72428795758719</v>
      </c>
      <c r="T21" s="14">
        <f t="shared" si="0"/>
        <v>7.7305200000000009E-4</v>
      </c>
      <c r="U21" s="14">
        <f t="shared" si="6"/>
        <v>408.27357771596235</v>
      </c>
      <c r="V21" s="14">
        <f t="shared" si="7"/>
        <v>2.2212425319086081E-2</v>
      </c>
      <c r="W21" s="14">
        <f t="shared" si="8"/>
        <v>2.7449330981005557</v>
      </c>
      <c r="X21" s="14">
        <f t="shared" si="9"/>
        <v>0.19119180234250069</v>
      </c>
      <c r="Y21" s="14">
        <f t="shared" si="10"/>
        <v>4.6679198916000001E-6</v>
      </c>
      <c r="Z21" s="14">
        <f t="shared" si="11"/>
        <v>0.26823574055938731</v>
      </c>
      <c r="AA21" s="14">
        <f t="shared" si="12"/>
        <v>1.0250080734636503E-3</v>
      </c>
      <c r="AB21" s="14">
        <f t="shared" si="13"/>
        <v>6.6625016157096694E-3</v>
      </c>
      <c r="AC21" s="14">
        <f t="shared" si="14"/>
        <v>0.11399668486882861</v>
      </c>
      <c r="AD21" s="14">
        <f t="shared" si="15"/>
        <v>2.7098874028800003E-8</v>
      </c>
      <c r="AE21" s="14">
        <f t="shared" si="16"/>
        <v>9.823062279846053E-3</v>
      </c>
      <c r="AF21" s="14">
        <f t="shared" si="17"/>
        <v>9.4713193319729012E-5</v>
      </c>
      <c r="AG21" s="14">
        <f t="shared" si="18"/>
        <v>1.1087019521122904E-2</v>
      </c>
      <c r="AH21" s="14">
        <f t="shared" si="19"/>
        <v>1.3562518582775672E-3</v>
      </c>
      <c r="AI21" s="14">
        <f t="shared" si="20"/>
        <v>1.8935242843520697E-8</v>
      </c>
      <c r="AJ21" s="14">
        <f t="shared" si="21"/>
        <v>1.1306078653039566E-3</v>
      </c>
      <c r="AK21" s="14">
        <f t="shared" si="22"/>
        <v>1.8412362620476092E-2</v>
      </c>
      <c r="AL21" s="14">
        <f t="shared" si="23"/>
        <v>2.155330389020782</v>
      </c>
      <c r="AM21" s="14">
        <f t="shared" si="24"/>
        <v>0.26365704865427042</v>
      </c>
      <c r="AN21" s="14">
        <f t="shared" si="25"/>
        <v>3.6810347674029349E-6</v>
      </c>
      <c r="AO21" s="14">
        <f t="shared" si="26"/>
        <v>0.21979157568117352</v>
      </c>
      <c r="AP21" s="14">
        <f t="shared" si="46"/>
        <v>1.8412362620476092E-2</v>
      </c>
      <c r="AQ21" s="14">
        <f t="shared" si="29"/>
        <v>2.155330389020782</v>
      </c>
      <c r="AR21" s="14">
        <f t="shared" si="47"/>
        <v>0.26600260279228877</v>
      </c>
      <c r="AS21" s="14">
        <f t="shared" si="31"/>
        <v>3.6810347674029349E-6</v>
      </c>
      <c r="AT21" s="14">
        <f t="shared" si="51"/>
        <v>0.21814250268360683</v>
      </c>
      <c r="AU21" s="10">
        <f>$AU$20+(($AU$26-$AU$20)/($D$26-$D$20))*(D21-$D$20)</f>
        <v>2.4815808162077572E-2</v>
      </c>
      <c r="AV21" s="10">
        <f>$AV$20+(($AV$26-$AV$20)/($D$26-$D$20))*(D21-$D$20)</f>
        <v>3.8415090848705127</v>
      </c>
      <c r="AW21" s="10">
        <f>$AW$20+(($AW$26-$AW$20)/($D$26-$D$20))*(D21-$D$20)</f>
        <v>0.30097729875661466</v>
      </c>
      <c r="AX21" s="10">
        <f>$AX$20+(($AX$26-$AX$20)/($D$26-$D$20))*(D21-$D$20)</f>
        <v>4.654254244334374E-6</v>
      </c>
      <c r="AY21" s="10">
        <f>$AY$20+(($AY$26-$AY$20)/($D$26-$D$20))*(D21-$D$20)</f>
        <v>0.28317372797345447</v>
      </c>
      <c r="AZ21" s="10">
        <f t="shared" si="48"/>
        <v>0.74196103146110937</v>
      </c>
      <c r="BA21" s="10">
        <f t="shared" si="49"/>
        <v>0.56106346266611329</v>
      </c>
      <c r="BB21" s="10">
        <f t="shared" si="34"/>
        <v>0.88379623277631914</v>
      </c>
      <c r="BC21" s="10">
        <f t="shared" si="45"/>
        <v>0.79089679552505332</v>
      </c>
      <c r="BD21" s="10">
        <f t="shared" si="36"/>
        <v>0.77034866279705205</v>
      </c>
      <c r="BF21" s="14"/>
      <c r="BG21" s="22">
        <v>92</v>
      </c>
      <c r="BH21" s="21">
        <v>0.77432437282417543</v>
      </c>
    </row>
    <row r="22" spans="2:60" x14ac:dyDescent="0.25">
      <c r="B22" s="10" t="s">
        <v>105</v>
      </c>
      <c r="C22" s="14" t="s">
        <v>117</v>
      </c>
      <c r="D22" s="12">
        <f t="shared" si="37"/>
        <v>182</v>
      </c>
      <c r="E22" s="9">
        <f t="shared" si="50"/>
        <v>0.12638888888888888</v>
      </c>
      <c r="F22" s="9">
        <v>0.55833333333333335</v>
      </c>
      <c r="G22" s="11">
        <v>9.9593000000000007</v>
      </c>
      <c r="H22" s="11">
        <v>19.078900000000001</v>
      </c>
      <c r="I22" s="11">
        <v>14.6751</v>
      </c>
      <c r="J22" s="11">
        <f t="shared" si="1"/>
        <v>4.4038000000000004</v>
      </c>
      <c r="K22" s="11">
        <f t="shared" si="2"/>
        <v>4.7157999999999998</v>
      </c>
      <c r="L22" s="1">
        <v>128515</v>
      </c>
      <c r="M22" s="1">
        <v>20370</v>
      </c>
      <c r="N22" s="1">
        <v>7665542</v>
      </c>
      <c r="O22" s="1">
        <v>160837</v>
      </c>
      <c r="P22" s="1">
        <v>2019878</v>
      </c>
      <c r="Q22" s="14">
        <f t="shared" si="3"/>
        <v>17.280561469273003</v>
      </c>
      <c r="R22" s="14">
        <f t="shared" si="4"/>
        <v>4400.6801798748111</v>
      </c>
      <c r="S22" s="14">
        <f t="shared" si="5"/>
        <v>108.47681270079092</v>
      </c>
      <c r="T22" s="14">
        <f t="shared" si="0"/>
        <v>7.4334800000000012E-4</v>
      </c>
      <c r="U22" s="14">
        <f t="shared" si="6"/>
        <v>385.61801242236021</v>
      </c>
      <c r="V22" s="14">
        <f t="shared" si="7"/>
        <v>2.1395063155106905E-2</v>
      </c>
      <c r="W22" s="14">
        <f t="shared" si="8"/>
        <v>2.6833415730943972</v>
      </c>
      <c r="X22" s="14">
        <f t="shared" si="9"/>
        <v>0.19616946808811028</v>
      </c>
      <c r="Y22" s="14">
        <f t="shared" si="10"/>
        <v>4.4885582284000005E-6</v>
      </c>
      <c r="Z22" s="14">
        <f t="shared" si="11"/>
        <v>0.25335103416149068</v>
      </c>
      <c r="AA22" s="14">
        <f t="shared" si="12"/>
        <v>9.872903184239743E-4</v>
      </c>
      <c r="AB22" s="14">
        <f t="shared" si="13"/>
        <v>6.5130066662147197E-3</v>
      </c>
      <c r="AC22" s="14">
        <f t="shared" si="14"/>
        <v>0.11696458091056429</v>
      </c>
      <c r="AD22" s="14">
        <f t="shared" si="15"/>
        <v>2.6057618131200005E-8</v>
      </c>
      <c r="AE22" s="14">
        <f t="shared" si="16"/>
        <v>9.277969378881987E-3</v>
      </c>
      <c r="AF22" s="14">
        <f t="shared" si="17"/>
        <v>9.887544280608358E-5</v>
      </c>
      <c r="AG22" s="14">
        <f t="shared" si="18"/>
        <v>1.1847613656429641E-2</v>
      </c>
      <c r="AH22" s="14">
        <f t="shared" si="19"/>
        <v>1.4154726742244593E-3</v>
      </c>
      <c r="AI22" s="14">
        <f t="shared" si="20"/>
        <v>1.9889595241811037E-8</v>
      </c>
      <c r="AJ22" s="14">
        <f t="shared" si="21"/>
        <v>1.1594603322373045E-3</v>
      </c>
      <c r="AK22" s="14">
        <f t="shared" si="22"/>
        <v>2.0966843972620462E-2</v>
      </c>
      <c r="AL22" s="14">
        <f t="shared" si="23"/>
        <v>2.5123231808875781</v>
      </c>
      <c r="AM22" s="14">
        <f t="shared" si="24"/>
        <v>0.30015536583919156</v>
      </c>
      <c r="AN22" s="14">
        <f t="shared" si="25"/>
        <v>4.2176502908967811E-6</v>
      </c>
      <c r="AO22" s="14">
        <f t="shared" si="26"/>
        <v>0.24586715557006333</v>
      </c>
      <c r="AP22" s="14">
        <f t="shared" si="46"/>
        <v>2.0966843972620462E-2</v>
      </c>
      <c r="AQ22" s="14">
        <f t="shared" si="29"/>
        <v>2.5123231808875781</v>
      </c>
      <c r="AR22" s="14">
        <f t="shared" si="47"/>
        <v>0.3025009199772099</v>
      </c>
      <c r="AS22" s="14">
        <f t="shared" si="31"/>
        <v>4.2176502908967811E-6</v>
      </c>
      <c r="AT22" s="14">
        <f t="shared" si="51"/>
        <v>0.24421808257249664</v>
      </c>
      <c r="AU22" s="10">
        <f t="shared" ref="AU22:AU25" si="53">$AU$20+(($AU$26-$AU$20)/($D$26-$D$20))*(D22-$D$20)</f>
        <v>2.4575645724476108E-2</v>
      </c>
      <c r="AV22" s="10">
        <f t="shared" ref="AV22:AV25" si="54">$AV$20+(($AV$26-$AV$20)/($D$26-$D$20))*(D22-$D$20)</f>
        <v>3.7577067365528753</v>
      </c>
      <c r="AW22" s="10">
        <f t="shared" ref="AW22:AW25" si="55">$AW$20+(($AW$26-$AW$20)/($D$26-$D$20))*(D22-$D$20)</f>
        <v>0.29802871558981309</v>
      </c>
      <c r="AX22" s="10">
        <f t="shared" ref="AX22:AX25" si="56">$AX$20+(($AX$26-$AX$20)/($D$26-$D$20))*(D22-$D$20)</f>
        <v>4.6271940682818312E-6</v>
      </c>
      <c r="AY22" s="10">
        <f t="shared" ref="AY22:AY25" si="57">$AY$20+(($AY$26-$AY$20)/($D$26-$D$20))*(D22-$D$20)</f>
        <v>0.28062028006061973</v>
      </c>
      <c r="AZ22" s="10">
        <f t="shared" si="48"/>
        <v>0.85315536396012337</v>
      </c>
      <c r="BA22" s="10">
        <f t="shared" si="49"/>
        <v>0.66857883199055945</v>
      </c>
      <c r="BB22" s="10">
        <f t="shared" si="34"/>
        <v>1.0150059512840772</v>
      </c>
      <c r="BC22" s="10">
        <f t="shared" si="45"/>
        <v>0.91149198167581469</v>
      </c>
      <c r="BD22" s="10">
        <f t="shared" si="36"/>
        <v>0.87027951978289142</v>
      </c>
      <c r="BG22" s="22">
        <v>101.99999999999996</v>
      </c>
      <c r="BH22" s="21">
        <v>0.86718946272834929</v>
      </c>
    </row>
    <row r="23" spans="2:60" x14ac:dyDescent="0.25">
      <c r="B23" s="10" t="s">
        <v>106</v>
      </c>
      <c r="C23" s="14" t="s">
        <v>117</v>
      </c>
      <c r="D23" s="12">
        <f t="shared" si="37"/>
        <v>208.00000000000006</v>
      </c>
      <c r="E23" s="9">
        <f t="shared" si="50"/>
        <v>0.14444444444444449</v>
      </c>
      <c r="F23" s="9">
        <v>0.57638888888888895</v>
      </c>
      <c r="G23" s="11">
        <v>9.9611000000000001</v>
      </c>
      <c r="H23" s="11">
        <v>19.0503</v>
      </c>
      <c r="I23" s="11">
        <v>15.0633</v>
      </c>
      <c r="J23" s="11">
        <f t="shared" si="1"/>
        <v>3.9870000000000001</v>
      </c>
      <c r="K23" s="11">
        <f t="shared" si="2"/>
        <v>5.1021999999999998</v>
      </c>
      <c r="L23" s="1">
        <v>150405</v>
      </c>
      <c r="M23" s="1">
        <v>22454</v>
      </c>
      <c r="N23" s="1">
        <v>8056300</v>
      </c>
      <c r="O23" s="1">
        <v>181293</v>
      </c>
      <c r="P23" s="1">
        <v>2310757</v>
      </c>
      <c r="Q23" s="14">
        <f t="shared" si="3"/>
        <v>19.510344195332632</v>
      </c>
      <c r="R23" s="14">
        <f t="shared" si="4"/>
        <v>4871.6087044946107</v>
      </c>
      <c r="S23" s="14">
        <f t="shared" si="5"/>
        <v>114.10627692219036</v>
      </c>
      <c r="T23" s="14">
        <f t="shared" si="0"/>
        <v>8.251720000000001E-4</v>
      </c>
      <c r="U23" s="14">
        <f t="shared" si="6"/>
        <v>441.03831497923255</v>
      </c>
      <c r="V23" s="14">
        <f t="shared" si="7"/>
        <v>2.4155757148241329E-2</v>
      </c>
      <c r="W23" s="14">
        <f t="shared" si="8"/>
        <v>2.9704931124967136</v>
      </c>
      <c r="X23" s="14">
        <f t="shared" si="9"/>
        <v>0.20634979118608904</v>
      </c>
      <c r="Y23" s="14">
        <f t="shared" si="10"/>
        <v>4.9826360876000005E-6</v>
      </c>
      <c r="Z23" s="14">
        <f t="shared" si="11"/>
        <v>0.28976217294135581</v>
      </c>
      <c r="AA23" s="14">
        <f t="shared" si="12"/>
        <v>1.1146844949119392E-3</v>
      </c>
      <c r="AB23" s="14">
        <f t="shared" si="13"/>
        <v>7.209980882652023E-3</v>
      </c>
      <c r="AC23" s="14">
        <f t="shared" si="14"/>
        <v>0.12303452255996714</v>
      </c>
      <c r="AD23" s="14">
        <f t="shared" si="15"/>
        <v>2.8925909356800004E-8</v>
      </c>
      <c r="AE23" s="14">
        <f t="shared" si="16"/>
        <v>1.0611381858400335E-2</v>
      </c>
      <c r="AF23" s="14">
        <f t="shared" si="17"/>
        <v>1.0199634697997788E-4</v>
      </c>
      <c r="AG23" s="14">
        <f t="shared" si="18"/>
        <v>1.1880142803983865E-2</v>
      </c>
      <c r="AH23" s="14">
        <f t="shared" si="19"/>
        <v>1.4504633584644013E-3</v>
      </c>
      <c r="AI23" s="14">
        <f t="shared" si="20"/>
        <v>2.0013355855981469E-8</v>
      </c>
      <c r="AJ23" s="14">
        <f t="shared" si="21"/>
        <v>1.2094231760351158E-3</v>
      </c>
      <c r="AK23" s="14">
        <f t="shared" si="22"/>
        <v>1.9990660299474321E-2</v>
      </c>
      <c r="AL23" s="14">
        <f t="shared" si="23"/>
        <v>2.328435342398155</v>
      </c>
      <c r="AM23" s="14">
        <f t="shared" si="24"/>
        <v>0.28428194866222439</v>
      </c>
      <c r="AN23" s="14">
        <f t="shared" si="25"/>
        <v>3.9224953659169514E-6</v>
      </c>
      <c r="AO23" s="14">
        <f t="shared" si="26"/>
        <v>0.2370395468690204</v>
      </c>
      <c r="AP23" s="14">
        <f t="shared" si="46"/>
        <v>1.9990660299474321E-2</v>
      </c>
      <c r="AQ23" s="14">
        <f t="shared" si="29"/>
        <v>2.328435342398155</v>
      </c>
      <c r="AR23" s="14">
        <f t="shared" si="47"/>
        <v>0.28662750280024274</v>
      </c>
      <c r="AS23" s="14">
        <f t="shared" si="31"/>
        <v>3.9224953659169514E-6</v>
      </c>
      <c r="AT23" s="14">
        <f t="shared" si="51"/>
        <v>0.2353904738714537</v>
      </c>
      <c r="AU23" s="10">
        <f t="shared" si="53"/>
        <v>2.4291817389128924E-2</v>
      </c>
      <c r="AV23" s="10">
        <f t="shared" si="54"/>
        <v>3.6586675976320313</v>
      </c>
      <c r="AW23" s="10">
        <f t="shared" si="55"/>
        <v>0.29454402639268396</v>
      </c>
      <c r="AX23" s="10">
        <f t="shared" si="56"/>
        <v>4.5952138602197351E-6</v>
      </c>
      <c r="AY23" s="10">
        <f t="shared" si="57"/>
        <v>0.2776025688909059</v>
      </c>
      <c r="AZ23" s="10">
        <f t="shared" si="48"/>
        <v>0.82293802802998772</v>
      </c>
      <c r="BA23" s="10">
        <f t="shared" si="49"/>
        <v>0.63641620351222083</v>
      </c>
      <c r="BB23" s="10">
        <f t="shared" si="34"/>
        <v>0.97312278341069813</v>
      </c>
      <c r="BC23" s="10">
        <f t="shared" si="45"/>
        <v>0.85360452967675038</v>
      </c>
      <c r="BD23" s="10">
        <f t="shared" si="36"/>
        <v>0.84794054612642655</v>
      </c>
      <c r="BF23" s="14"/>
      <c r="BG23" s="22">
        <v>112</v>
      </c>
      <c r="BH23" s="21">
        <v>0.87634138463194922</v>
      </c>
    </row>
    <row r="24" spans="2:60" x14ac:dyDescent="0.25">
      <c r="B24" s="10" t="s">
        <v>107</v>
      </c>
      <c r="C24" s="14" t="s">
        <v>117</v>
      </c>
      <c r="D24" s="12">
        <f t="shared" si="37"/>
        <v>239.99999999999994</v>
      </c>
      <c r="E24" s="9">
        <f t="shared" si="50"/>
        <v>0.16666666666666663</v>
      </c>
      <c r="F24" s="9">
        <v>0.59861111111111109</v>
      </c>
      <c r="G24" s="11">
        <v>9.9131999999999998</v>
      </c>
      <c r="H24" s="11">
        <v>19.040900000000001</v>
      </c>
      <c r="I24" s="11">
        <v>14.9168</v>
      </c>
      <c r="J24" s="11">
        <f t="shared" si="1"/>
        <v>4.1241000000000003</v>
      </c>
      <c r="K24" s="11">
        <f t="shared" si="2"/>
        <v>5.0036000000000005</v>
      </c>
      <c r="L24" s="1">
        <v>150953</v>
      </c>
      <c r="M24" s="1">
        <v>22426</v>
      </c>
      <c r="N24" s="1">
        <v>7907157</v>
      </c>
      <c r="O24" s="1">
        <v>180853</v>
      </c>
      <c r="P24" s="1">
        <v>2299643</v>
      </c>
      <c r="Q24" s="14">
        <f t="shared" si="3"/>
        <v>19.566165160790863</v>
      </c>
      <c r="R24" s="14">
        <f t="shared" si="4"/>
        <v>4865.281449845209</v>
      </c>
      <c r="S24" s="14">
        <f t="shared" si="5"/>
        <v>111.95764482157522</v>
      </c>
      <c r="T24" s="14">
        <f t="shared" si="0"/>
        <v>8.2341200000000004E-4</v>
      </c>
      <c r="U24" s="14">
        <f t="shared" si="6"/>
        <v>438.92079792706625</v>
      </c>
      <c r="V24" s="14">
        <f t="shared" si="7"/>
        <v>2.4224869085575168E-2</v>
      </c>
      <c r="W24" s="14">
        <f t="shared" si="8"/>
        <v>2.9666350303934199</v>
      </c>
      <c r="X24" s="14">
        <f t="shared" si="9"/>
        <v>0.20246420489533662</v>
      </c>
      <c r="Y24" s="14">
        <f t="shared" si="10"/>
        <v>4.9720086795999998E-6</v>
      </c>
      <c r="Z24" s="14">
        <f t="shared" si="11"/>
        <v>0.28837096423808251</v>
      </c>
      <c r="AA24" s="14">
        <f t="shared" si="12"/>
        <v>1.1178737141314642E-3</v>
      </c>
      <c r="AB24" s="14">
        <f t="shared" si="13"/>
        <v>7.2006165457709085E-3</v>
      </c>
      <c r="AC24" s="14">
        <f t="shared" si="14"/>
        <v>0.12071777074063936</v>
      </c>
      <c r="AD24" s="14">
        <f t="shared" si="15"/>
        <v>2.8864213612800003E-8</v>
      </c>
      <c r="AE24" s="14">
        <f t="shared" si="16"/>
        <v>1.0560434398125214E-2</v>
      </c>
      <c r="AF24" s="14">
        <f t="shared" si="17"/>
        <v>1.0549917551184875E-4</v>
      </c>
      <c r="AG24" s="14">
        <f t="shared" si="18"/>
        <v>1.2270728533793924E-2</v>
      </c>
      <c r="AH24" s="14">
        <f t="shared" si="19"/>
        <v>1.439006065086721E-3</v>
      </c>
      <c r="AI24" s="14">
        <f t="shared" si="20"/>
        <v>2.0649485974771366E-8</v>
      </c>
      <c r="AJ24" s="14">
        <f t="shared" si="21"/>
        <v>1.2421108831687355E-3</v>
      </c>
      <c r="AK24" s="14">
        <f t="shared" si="22"/>
        <v>2.1084654151380756E-2</v>
      </c>
      <c r="AL24" s="14">
        <f t="shared" si="23"/>
        <v>2.4523799931637069</v>
      </c>
      <c r="AM24" s="14">
        <f t="shared" si="24"/>
        <v>0.28759414523277654</v>
      </c>
      <c r="AN24" s="14">
        <f t="shared" si="25"/>
        <v>4.1269258083722446E-6</v>
      </c>
      <c r="AO24" s="14">
        <f t="shared" si="26"/>
        <v>0.24824344135597073</v>
      </c>
      <c r="AP24" s="14">
        <f t="shared" si="46"/>
        <v>2.1084654151380756E-2</v>
      </c>
      <c r="AQ24" s="14">
        <f t="shared" si="29"/>
        <v>2.4523799931637069</v>
      </c>
      <c r="AR24" s="14">
        <f t="shared" si="47"/>
        <v>0.28993969937079489</v>
      </c>
      <c r="AS24" s="14">
        <f t="shared" si="31"/>
        <v>4.1269258083722446E-6</v>
      </c>
      <c r="AT24" s="14">
        <f t="shared" si="51"/>
        <v>0.24659436835840404</v>
      </c>
      <c r="AU24" s="10">
        <f t="shared" si="53"/>
        <v>2.3942490207163162E-2</v>
      </c>
      <c r="AV24" s="10">
        <f t="shared" si="54"/>
        <v>3.5367732728063777</v>
      </c>
      <c r="AW24" s="10">
        <f t="shared" si="55"/>
        <v>0.29025517815006358</v>
      </c>
      <c r="AX24" s="10">
        <f t="shared" si="56"/>
        <v>4.5558536041433101E-6</v>
      </c>
      <c r="AY24" s="10">
        <f t="shared" si="57"/>
        <v>0.27388846283587359</v>
      </c>
      <c r="AZ24" s="10">
        <f t="shared" si="48"/>
        <v>0.88063747625853084</v>
      </c>
      <c r="BA24" s="10">
        <f t="shared" si="49"/>
        <v>0.69339474260892597</v>
      </c>
      <c r="BB24" s="10">
        <f t="shared" si="34"/>
        <v>0.99891309853185262</v>
      </c>
      <c r="BC24" s="10">
        <f t="shared" si="45"/>
        <v>0.90585127770985041</v>
      </c>
      <c r="BD24" s="10">
        <f t="shared" si="36"/>
        <v>0.90034595033736264</v>
      </c>
      <c r="BG24" s="22">
        <v>124.99999999999987</v>
      </c>
      <c r="BH24" s="21">
        <v>0.94524997308258274</v>
      </c>
    </row>
    <row r="25" spans="2:60" x14ac:dyDescent="0.25">
      <c r="B25" s="10" t="s">
        <v>108</v>
      </c>
      <c r="C25" s="14" t="s">
        <v>117</v>
      </c>
      <c r="D25" s="12">
        <f t="shared" si="37"/>
        <v>270</v>
      </c>
      <c r="E25" s="9">
        <f t="shared" si="50"/>
        <v>0.1875</v>
      </c>
      <c r="F25" s="9">
        <v>0.61944444444444446</v>
      </c>
      <c r="G25" s="11">
        <v>9.9335000000000004</v>
      </c>
      <c r="H25" s="11">
        <v>19.097799999999999</v>
      </c>
      <c r="I25" s="11">
        <v>14.9467</v>
      </c>
      <c r="J25" s="11">
        <f t="shared" si="1"/>
        <v>4.1510999999999996</v>
      </c>
      <c r="K25" s="11">
        <f t="shared" si="2"/>
        <v>5.0131999999999994</v>
      </c>
      <c r="L25" s="1">
        <v>152403</v>
      </c>
      <c r="M25" s="1">
        <v>22208</v>
      </c>
      <c r="N25" s="1">
        <v>7760975</v>
      </c>
      <c r="O25" s="1">
        <v>182833</v>
      </c>
      <c r="P25" s="1">
        <v>2284661</v>
      </c>
      <c r="Q25" s="14">
        <f t="shared" si="3"/>
        <v>19.713866620488737</v>
      </c>
      <c r="R25" s="14">
        <f t="shared" si="4"/>
        <v>4816.0192529320047</v>
      </c>
      <c r="S25" s="14">
        <f t="shared" si="5"/>
        <v>109.8516704363736</v>
      </c>
      <c r="T25" s="14">
        <f t="shared" si="0"/>
        <v>8.3133200000000006E-4</v>
      </c>
      <c r="U25" s="14">
        <f t="shared" si="6"/>
        <v>436.06632244789085</v>
      </c>
      <c r="V25" s="14">
        <f t="shared" si="7"/>
        <v>2.4407738262827106E-2</v>
      </c>
      <c r="W25" s="14">
        <f t="shared" si="8"/>
        <v>2.9365971054463444</v>
      </c>
      <c r="X25" s="14">
        <f t="shared" si="9"/>
        <v>0.19865576081713801</v>
      </c>
      <c r="Y25" s="14">
        <f t="shared" si="10"/>
        <v>5.0198320155999996E-6</v>
      </c>
      <c r="Z25" s="14">
        <f t="shared" si="11"/>
        <v>0.2864955738482643</v>
      </c>
      <c r="AA25" s="14">
        <f t="shared" si="12"/>
        <v>1.1263123416283831E-3</v>
      </c>
      <c r="AB25" s="14">
        <f t="shared" si="13"/>
        <v>7.1277084943393671E-3</v>
      </c>
      <c r="AC25" s="14">
        <f t="shared" si="14"/>
        <v>0.11844701438966765</v>
      </c>
      <c r="AD25" s="14">
        <f t="shared" si="15"/>
        <v>2.9141844460800006E-8</v>
      </c>
      <c r="AE25" s="14">
        <f t="shared" si="16"/>
        <v>1.0491755718096255E-2</v>
      </c>
      <c r="AF25" s="14">
        <f t="shared" si="17"/>
        <v>1.06965391333873E-4</v>
      </c>
      <c r="AG25" s="14">
        <f t="shared" si="18"/>
        <v>1.2225840872642141E-2</v>
      </c>
      <c r="AH25" s="14">
        <f t="shared" si="19"/>
        <v>1.4184385012663034E-3</v>
      </c>
      <c r="AI25" s="14">
        <f t="shared" si="20"/>
        <v>2.0983918574608038E-8</v>
      </c>
      <c r="AJ25" s="14">
        <f t="shared" si="21"/>
        <v>1.24186904636749E-3</v>
      </c>
      <c r="AK25" s="14">
        <f t="shared" si="22"/>
        <v>2.1336749248757881E-2</v>
      </c>
      <c r="AL25" s="14">
        <f t="shared" si="23"/>
        <v>2.4387299275197765</v>
      </c>
      <c r="AM25" s="14">
        <f t="shared" si="24"/>
        <v>0.28294073670835063</v>
      </c>
      <c r="AN25" s="14">
        <f t="shared" si="25"/>
        <v>4.185733378801572E-6</v>
      </c>
      <c r="AO25" s="14">
        <f t="shared" si="26"/>
        <v>0.24771982892513564</v>
      </c>
      <c r="AP25" s="14">
        <f t="shared" si="46"/>
        <v>2.1336749248757881E-2</v>
      </c>
      <c r="AQ25" s="14">
        <f t="shared" si="29"/>
        <v>2.4387299275197765</v>
      </c>
      <c r="AR25" s="14">
        <f t="shared" si="47"/>
        <v>0.28528629084636897</v>
      </c>
      <c r="AS25" s="14">
        <f t="shared" si="31"/>
        <v>4.185733378801572E-6</v>
      </c>
      <c r="AT25" s="14">
        <f t="shared" si="51"/>
        <v>0.24607075592756894</v>
      </c>
      <c r="AU25" s="10">
        <f t="shared" si="53"/>
        <v>2.3614995974070255E-2</v>
      </c>
      <c r="AV25" s="10">
        <f t="shared" si="54"/>
        <v>3.4224973432823269</v>
      </c>
      <c r="AW25" s="10">
        <f t="shared" si="55"/>
        <v>0.28623438292260689</v>
      </c>
      <c r="AX25" s="10">
        <f t="shared" si="56"/>
        <v>4.5189533640716608E-6</v>
      </c>
      <c r="AY25" s="10">
        <f t="shared" si="57"/>
        <v>0.27040648840928072</v>
      </c>
      <c r="AZ25" s="10">
        <f t="shared" si="48"/>
        <v>0.90352542393765656</v>
      </c>
      <c r="BA25" s="10">
        <f t="shared" si="49"/>
        <v>0.71255860353157385</v>
      </c>
      <c r="BB25" s="10">
        <f t="shared" si="34"/>
        <v>0.99668770723294176</v>
      </c>
      <c r="BC25" s="10">
        <f t="shared" si="45"/>
        <v>0.92626168972678857</v>
      </c>
      <c r="BD25" s="10">
        <f t="shared" si="36"/>
        <v>0.9100031488709035</v>
      </c>
      <c r="BF25" s="14"/>
      <c r="BG25" s="22">
        <v>132</v>
      </c>
      <c r="BH25" s="21">
        <v>0.9132182464199835</v>
      </c>
    </row>
    <row r="26" spans="2:60" s="4" customFormat="1" x14ac:dyDescent="0.25">
      <c r="B26" s="4" t="s">
        <v>109</v>
      </c>
      <c r="C26" s="5" t="s">
        <v>44</v>
      </c>
      <c r="D26" s="6">
        <f t="shared" si="37"/>
        <v>296.00000000000006</v>
      </c>
      <c r="E26" s="7">
        <f t="shared" si="50"/>
        <v>0.2055555555555556</v>
      </c>
      <c r="F26" s="7">
        <v>0.63750000000000007</v>
      </c>
      <c r="G26" s="8">
        <v>9.8827999999999996</v>
      </c>
      <c r="H26" s="8">
        <v>19.0383</v>
      </c>
      <c r="I26" s="8">
        <v>15.0913</v>
      </c>
      <c r="J26" s="8">
        <f t="shared" si="1"/>
        <v>3.9469999999999992</v>
      </c>
      <c r="K26" s="8">
        <f t="shared" si="2"/>
        <v>5.2085000000000008</v>
      </c>
      <c r="L26" s="13">
        <v>188981</v>
      </c>
      <c r="M26" s="13">
        <v>32623</v>
      </c>
      <c r="N26" s="13">
        <v>8084585</v>
      </c>
      <c r="O26" s="13">
        <v>218282</v>
      </c>
      <c r="P26" s="13">
        <v>2701382</v>
      </c>
      <c r="Q26" s="5">
        <f t="shared" si="3"/>
        <v>23.439814201750007</v>
      </c>
      <c r="R26" s="5">
        <f t="shared" si="4"/>
        <v>7169.5320091293252</v>
      </c>
      <c r="S26" s="5">
        <f t="shared" si="5"/>
        <v>114.51376543298805</v>
      </c>
      <c r="T26" s="5">
        <f t="shared" si="0"/>
        <v>9.7312800000000008E-4</v>
      </c>
      <c r="U26" s="5">
        <f t="shared" si="6"/>
        <v>515.46292344625238</v>
      </c>
      <c r="V26" s="5">
        <f t="shared" si="7"/>
        <v>2.9020833963186683E-2</v>
      </c>
      <c r="W26" s="5">
        <f t="shared" si="8"/>
        <v>4.3716658592251978</v>
      </c>
      <c r="X26" s="5">
        <f t="shared" si="9"/>
        <v>0.20708669340901559</v>
      </c>
      <c r="Y26" s="5">
        <f t="shared" si="10"/>
        <v>5.8760388023999995E-6</v>
      </c>
      <c r="Z26" s="5">
        <f t="shared" si="11"/>
        <v>0.33865914070418784</v>
      </c>
      <c r="AA26" s="5">
        <f t="shared" si="12"/>
        <v>1.3391869047885833E-3</v>
      </c>
      <c r="AB26" s="5">
        <f t="shared" si="13"/>
        <v>1.06109073735114E-2</v>
      </c>
      <c r="AC26" s="5">
        <f t="shared" si="14"/>
        <v>0.12347389500929218</v>
      </c>
      <c r="AD26" s="5">
        <f t="shared" si="15"/>
        <v>3.4112418163200004E-8</v>
      </c>
      <c r="AE26" s="5">
        <f t="shared" si="16"/>
        <v>1.2402037938116832E-2</v>
      </c>
      <c r="AF26" s="5">
        <f t="shared" si="17"/>
        <v>1.2152038664628914E-4</v>
      </c>
      <c r="AG26" s="5">
        <f t="shared" si="18"/>
        <v>1.7310232057416785E-2</v>
      </c>
      <c r="AH26" s="5">
        <f t="shared" si="19"/>
        <v>1.4604849610412828E-3</v>
      </c>
      <c r="AI26" s="5">
        <f t="shared" si="20"/>
        <v>2.3370399683075819E-8</v>
      </c>
      <c r="AJ26" s="5">
        <f t="shared" si="21"/>
        <v>1.4012836429601106E-3</v>
      </c>
      <c r="AK26" s="5">
        <f t="shared" si="22"/>
        <v>2.3331167638723071E-2</v>
      </c>
      <c r="AL26" s="5">
        <f t="shared" si="23"/>
        <v>3.3234582043614829</v>
      </c>
      <c r="AM26" s="5">
        <f t="shared" si="24"/>
        <v>0.28040413958745941</v>
      </c>
      <c r="AN26" s="5">
        <f t="shared" si="25"/>
        <v>4.4869731560095647E-6</v>
      </c>
      <c r="AO26" s="5">
        <f t="shared" si="26"/>
        <v>0.26903785023713361</v>
      </c>
      <c r="AP26" s="5">
        <f t="shared" si="46"/>
        <v>2.3331167638723071E-2</v>
      </c>
      <c r="AQ26" s="5">
        <f t="shared" si="29"/>
        <v>3.3234582043614829</v>
      </c>
      <c r="AR26" s="5">
        <f t="shared" si="47"/>
        <v>0.28274969372547776</v>
      </c>
      <c r="AS26" s="5">
        <f t="shared" si="31"/>
        <v>4.4869731560095647E-6</v>
      </c>
      <c r="AT26" s="5">
        <f t="shared" si="51"/>
        <v>0.26738877723956694</v>
      </c>
      <c r="AU26" s="4">
        <f>AP26</f>
        <v>2.3331167638723071E-2</v>
      </c>
      <c r="AV26" s="4">
        <f t="shared" ref="AV26:AY26" si="58">AQ26</f>
        <v>3.3234582043614829</v>
      </c>
      <c r="AW26" s="4">
        <f t="shared" si="58"/>
        <v>0.28274969372547776</v>
      </c>
      <c r="AX26" s="4">
        <f t="shared" si="58"/>
        <v>4.4869731560095647E-6</v>
      </c>
      <c r="AY26" s="4">
        <f t="shared" si="58"/>
        <v>0.26738877723956694</v>
      </c>
      <c r="AZ26" s="4">
        <f t="shared" si="48"/>
        <v>1</v>
      </c>
      <c r="BA26" s="4">
        <f t="shared" si="49"/>
        <v>1</v>
      </c>
      <c r="BB26" s="4">
        <f t="shared" si="34"/>
        <v>1</v>
      </c>
      <c r="BC26" s="4">
        <f t="shared" si="45"/>
        <v>1</v>
      </c>
      <c r="BD26" s="4">
        <f t="shared" si="36"/>
        <v>1</v>
      </c>
      <c r="BF26" s="5"/>
      <c r="BG26" s="22">
        <v>139.99999999999997</v>
      </c>
      <c r="BH26" s="21">
        <v>0.94955675986074739</v>
      </c>
    </row>
    <row r="27" spans="2:60" x14ac:dyDescent="0.25">
      <c r="B27" s="10" t="s">
        <v>110</v>
      </c>
      <c r="C27" s="15" t="s">
        <v>117</v>
      </c>
      <c r="D27" s="12">
        <f t="shared" si="37"/>
        <v>309</v>
      </c>
      <c r="E27" s="9">
        <f t="shared" si="50"/>
        <v>0.21458333333333335</v>
      </c>
      <c r="F27" s="9">
        <v>0.64652777777777781</v>
      </c>
      <c r="G27" s="11">
        <v>9.8763000000000005</v>
      </c>
      <c r="H27" s="11">
        <v>18.9514</v>
      </c>
      <c r="I27" s="11">
        <v>14.6274</v>
      </c>
      <c r="J27" s="11">
        <f t="shared" si="1"/>
        <v>4.3239999999999998</v>
      </c>
      <c r="K27" s="11">
        <f t="shared" si="2"/>
        <v>4.7510999999999992</v>
      </c>
      <c r="L27" s="1">
        <v>141629</v>
      </c>
      <c r="M27" s="1">
        <v>21068</v>
      </c>
      <c r="N27" s="1">
        <v>7406574</v>
      </c>
      <c r="O27" s="1">
        <v>167158</v>
      </c>
      <c r="P27" s="1">
        <v>2155249</v>
      </c>
      <c r="Q27" s="15">
        <f t="shared" si="3"/>
        <v>18.616393843395706</v>
      </c>
      <c r="R27" s="15">
        <f t="shared" si="4"/>
        <v>4558.4095993491974</v>
      </c>
      <c r="S27" s="15">
        <f t="shared" si="5"/>
        <v>104.74598418163744</v>
      </c>
      <c r="T27" s="15">
        <f t="shared" si="0"/>
        <v>7.686320000000001E-4</v>
      </c>
      <c r="U27" s="15">
        <f t="shared" si="6"/>
        <v>411.40984262469993</v>
      </c>
      <c r="V27" s="15">
        <f t="shared" si="7"/>
        <v>2.3048957217508222E-2</v>
      </c>
      <c r="W27" s="15">
        <f t="shared" si="8"/>
        <v>2.7795180483836566</v>
      </c>
      <c r="X27" s="15">
        <f t="shared" si="9"/>
        <v>0.18942263779407315</v>
      </c>
      <c r="Y27" s="15">
        <f t="shared" si="10"/>
        <v>4.6412306056000005E-6</v>
      </c>
      <c r="Z27" s="15">
        <f t="shared" si="11"/>
        <v>0.2702962666044279</v>
      </c>
      <c r="AA27" s="15">
        <f t="shared" si="12"/>
        <v>1.0636104294547268E-3</v>
      </c>
      <c r="AB27" s="15">
        <f t="shared" si="13"/>
        <v>6.7464462070368119E-3</v>
      </c>
      <c r="AC27" s="15">
        <f t="shared" si="14"/>
        <v>0.11294183371392966</v>
      </c>
      <c r="AD27" s="15">
        <f t="shared" si="15"/>
        <v>2.6943933580800001E-8</v>
      </c>
      <c r="AE27" s="15">
        <f t="shared" si="16"/>
        <v>9.8985208135502802E-3</v>
      </c>
      <c r="AF27" s="15">
        <f t="shared" si="17"/>
        <v>1.0471701051988789E-4</v>
      </c>
      <c r="AG27" s="15">
        <f t="shared" si="18"/>
        <v>1.2050689081785183E-2</v>
      </c>
      <c r="AH27" s="15">
        <f t="shared" si="19"/>
        <v>1.3556614319798234E-3</v>
      </c>
      <c r="AI27" s="15">
        <f t="shared" si="20"/>
        <v>2.019669446145014E-8</v>
      </c>
      <c r="AJ27" s="15">
        <f t="shared" si="21"/>
        <v>1.215789919034805E-3</v>
      </c>
      <c r="AK27" s="15">
        <f t="shared" si="22"/>
        <v>2.2040582290393365E-2</v>
      </c>
      <c r="AL27" s="15">
        <f t="shared" si="23"/>
        <v>2.5363997983172708</v>
      </c>
      <c r="AM27" s="15">
        <f t="shared" si="24"/>
        <v>0.28533632884591431</v>
      </c>
      <c r="AN27" s="15">
        <f t="shared" si="25"/>
        <v>4.2509512452800703E-6</v>
      </c>
      <c r="AO27" s="15">
        <f t="shared" si="26"/>
        <v>0.25589651218345333</v>
      </c>
      <c r="AP27" s="15">
        <f t="shared" si="46"/>
        <v>2.2040582290393365E-2</v>
      </c>
      <c r="AQ27" s="15">
        <f t="shared" si="29"/>
        <v>2.5363997983172708</v>
      </c>
      <c r="AR27" s="15">
        <f t="shared" si="47"/>
        <v>0.28768188298393266</v>
      </c>
      <c r="AS27" s="15">
        <f t="shared" si="31"/>
        <v>4.2509512452800703E-6</v>
      </c>
      <c r="AT27" s="15">
        <f t="shared" si="51"/>
        <v>0.25424743918588666</v>
      </c>
      <c r="AU27" s="10">
        <f>$AU$26+(($AU$30-$AU$26)/($D$30-$D$26))*(D27-$D$26)</f>
        <v>2.3592627335436336E-2</v>
      </c>
      <c r="AV27" s="10">
        <f>$AV$26+(($AV$30-$AV$26)/($D$30-$D$26))*(D27-$D$26)</f>
        <v>3.3241667237316945</v>
      </c>
      <c r="AW27" s="10">
        <f>$AW$26+(($AW$30-$AW$26)/($D$30-$D$26))*(D27-$D$26)</f>
        <v>0.28445334568025016</v>
      </c>
      <c r="AX27" s="10">
        <f>$AX$26+(($AX$30-$AX$26)/($D$30-$D$26))*(D27-$D$26)</f>
        <v>4.5329117495339802E-6</v>
      </c>
      <c r="AY27" s="10">
        <f>$AY$26+(($AY$30-$AY$26)/($D$30-$D$26))*(D27-$D$26)</f>
        <v>0.26805908260659822</v>
      </c>
      <c r="AZ27" s="10">
        <f t="shared" si="48"/>
        <v>0.93421482809115597</v>
      </c>
      <c r="BA27" s="10">
        <f t="shared" si="49"/>
        <v>0.7630182265557125</v>
      </c>
      <c r="BB27" s="10">
        <f t="shared" si="34"/>
        <v>1.0113499712789866</v>
      </c>
      <c r="BC27" s="10">
        <f t="shared" si="45"/>
        <v>0.93779704529149555</v>
      </c>
      <c r="BD27" s="10">
        <f t="shared" si="36"/>
        <v>0.94847537607602184</v>
      </c>
      <c r="BF27" s="15"/>
      <c r="BG27" s="6">
        <v>147.99999999999994</v>
      </c>
      <c r="BH27" s="4">
        <v>1.0138893873595809</v>
      </c>
    </row>
    <row r="28" spans="2:60" x14ac:dyDescent="0.25">
      <c r="B28" s="10" t="s">
        <v>111</v>
      </c>
      <c r="C28" s="14" t="s">
        <v>117</v>
      </c>
      <c r="D28" s="12">
        <f t="shared" si="37"/>
        <v>353.99999999999989</v>
      </c>
      <c r="E28" s="9">
        <f>F28-$F$3</f>
        <v>0.24583333333333324</v>
      </c>
      <c r="F28" s="9">
        <v>0.6777777777777777</v>
      </c>
      <c r="G28" s="11">
        <v>9.8829999999999991</v>
      </c>
      <c r="H28" s="11">
        <v>19.010200000000001</v>
      </c>
      <c r="I28" s="11">
        <v>14.682600000000001</v>
      </c>
      <c r="J28" s="11">
        <f t="shared" si="1"/>
        <v>4.3276000000000003</v>
      </c>
      <c r="K28" s="11">
        <f t="shared" si="2"/>
        <v>4.7996000000000016</v>
      </c>
      <c r="L28" s="1">
        <v>145809</v>
      </c>
      <c r="M28" s="1">
        <v>21787</v>
      </c>
      <c r="N28" s="1">
        <v>7447955</v>
      </c>
      <c r="O28" s="1">
        <v>172736</v>
      </c>
      <c r="P28" s="1">
        <v>2176161</v>
      </c>
      <c r="Q28" s="14">
        <f t="shared" si="3"/>
        <v>19.0421814996282</v>
      </c>
      <c r="R28" s="14">
        <f t="shared" si="4"/>
        <v>4720.8844598106343</v>
      </c>
      <c r="S28" s="14">
        <f t="shared" si="5"/>
        <v>105.34214052122802</v>
      </c>
      <c r="T28" s="14">
        <f t="shared" si="0"/>
        <v>7.9094400000000013E-4</v>
      </c>
      <c r="U28" s="14">
        <f t="shared" si="6"/>
        <v>415.39414320009143</v>
      </c>
      <c r="V28" s="14">
        <f t="shared" si="7"/>
        <v>2.3576124914689672E-2</v>
      </c>
      <c r="W28" s="14">
        <f t="shared" si="8"/>
        <v>2.8785880852503869</v>
      </c>
      <c r="X28" s="14">
        <f t="shared" si="9"/>
        <v>0.19050072691858874</v>
      </c>
      <c r="Y28" s="14">
        <f t="shared" si="10"/>
        <v>4.7759571552000008E-6</v>
      </c>
      <c r="Z28" s="14">
        <f t="shared" si="11"/>
        <v>0.27291395208246011</v>
      </c>
      <c r="AA28" s="14">
        <f t="shared" si="12"/>
        <v>1.087936955618258E-3</v>
      </c>
      <c r="AB28" s="14">
        <f t="shared" si="13"/>
        <v>6.9869090005197391E-3</v>
      </c>
      <c r="AC28" s="14">
        <f t="shared" si="14"/>
        <v>0.11358463630631151</v>
      </c>
      <c r="AD28" s="14">
        <f t="shared" si="15"/>
        <v>2.7726067353600003E-8</v>
      </c>
      <c r="AE28" s="14">
        <f t="shared" si="16"/>
        <v>9.9943830853941994E-3</v>
      </c>
      <c r="AF28" s="14">
        <f t="shared" si="17"/>
        <v>1.0724970039299642E-4</v>
      </c>
      <c r="AG28" s="14">
        <f t="shared" si="18"/>
        <v>1.2490912166168469E-2</v>
      </c>
      <c r="AH28" s="14">
        <f t="shared" si="19"/>
        <v>1.3695717662286573E-3</v>
      </c>
      <c r="AI28" s="14">
        <f t="shared" si="20"/>
        <v>2.0801506217713866E-8</v>
      </c>
      <c r="AJ28" s="14">
        <f t="shared" si="21"/>
        <v>1.2290314600887124E-3</v>
      </c>
      <c r="AK28" s="14">
        <f t="shared" si="22"/>
        <v>2.2345549711016831E-2</v>
      </c>
      <c r="AL28" s="14">
        <f t="shared" si="23"/>
        <v>2.6024902421386087</v>
      </c>
      <c r="AM28" s="14">
        <f t="shared" si="24"/>
        <v>0.28535123056685074</v>
      </c>
      <c r="AN28" s="14">
        <f t="shared" si="25"/>
        <v>4.3340082960483918E-6</v>
      </c>
      <c r="AO28" s="14">
        <f t="shared" si="26"/>
        <v>0.25606955998181347</v>
      </c>
      <c r="AP28" s="14">
        <f t="shared" si="46"/>
        <v>2.2345549711016831E-2</v>
      </c>
      <c r="AQ28" s="14">
        <f t="shared" si="29"/>
        <v>2.6024902421386087</v>
      </c>
      <c r="AR28" s="14">
        <f t="shared" si="47"/>
        <v>0.28769678470486909</v>
      </c>
      <c r="AS28" s="14">
        <f t="shared" si="31"/>
        <v>4.3340082960483918E-6</v>
      </c>
      <c r="AT28" s="14">
        <f t="shared" si="51"/>
        <v>0.2544204869842468</v>
      </c>
      <c r="AU28" s="10">
        <f>$AU$26+(($AU$30-$AU$26)/($D$30-$D$26))*(D28-$D$26)</f>
        <v>2.4497680131751482E-2</v>
      </c>
      <c r="AV28" s="10">
        <f t="shared" ref="AV28:AV29" si="59">$AV$26+(($AV$30-$AV$26)/($D$30-$D$26))*(D28-$D$26)</f>
        <v>3.3266192907824266</v>
      </c>
      <c r="AW28" s="10">
        <f t="shared" ref="AW28:AW29" si="60">$AW$26+(($AW$30-$AW$26)/($D$30-$D$26))*(D28-$D$26)</f>
        <v>0.29035060244677008</v>
      </c>
      <c r="AX28" s="10">
        <f t="shared" ref="AX28:AX29" si="61">$AX$26+(($AX$30-$AX$26)/($D$30-$D$26))*(D28-$D$26)</f>
        <v>4.691929957887727E-6</v>
      </c>
      <c r="AY28" s="10">
        <f t="shared" ref="AY28:AY29" si="62">$AY$26+(($AY$30-$AY$26)/($D$30-$D$26))*(D28-$D$26)</f>
        <v>0.27037937041555266</v>
      </c>
      <c r="AZ28" s="10">
        <f t="shared" si="48"/>
        <v>0.91214962359046925</v>
      </c>
      <c r="BA28" s="10">
        <f t="shared" si="49"/>
        <v>0.78232283728700991</v>
      </c>
      <c r="BB28" s="10">
        <f t="shared" si="34"/>
        <v>0.99085995441532615</v>
      </c>
      <c r="BC28" s="10">
        <f t="shared" si="45"/>
        <v>0.92371547208678517</v>
      </c>
      <c r="BD28" s="10">
        <f t="shared" si="36"/>
        <v>0.94097595757110364</v>
      </c>
      <c r="BG28" s="22">
        <v>152</v>
      </c>
      <c r="BH28" s="21">
        <v>0.9573628108961707</v>
      </c>
    </row>
    <row r="29" spans="2:60" x14ac:dyDescent="0.25">
      <c r="B29" s="10" t="s">
        <v>112</v>
      </c>
      <c r="C29" s="14" t="s">
        <v>117</v>
      </c>
      <c r="D29" s="12">
        <f t="shared" si="37"/>
        <v>413</v>
      </c>
      <c r="E29" s="9">
        <f t="shared" ref="E29:E37" si="63">F29-$F$3</f>
        <v>0.28680555555555554</v>
      </c>
      <c r="F29" s="9">
        <v>0.71875</v>
      </c>
      <c r="G29" s="11">
        <v>9.9123000000000001</v>
      </c>
      <c r="H29" s="11">
        <v>18.677700000000002</v>
      </c>
      <c r="I29" s="11">
        <v>14.3926</v>
      </c>
      <c r="J29" s="11">
        <f t="shared" si="1"/>
        <v>4.2851000000000017</v>
      </c>
      <c r="K29" s="11">
        <f t="shared" si="2"/>
        <v>4.4802999999999997</v>
      </c>
      <c r="L29" s="1">
        <v>137498</v>
      </c>
      <c r="M29" s="1">
        <v>21906</v>
      </c>
      <c r="N29" s="1">
        <v>7094515</v>
      </c>
      <c r="O29" s="1">
        <v>166149</v>
      </c>
      <c r="P29" s="1">
        <v>2064920</v>
      </c>
      <c r="Q29" s="14">
        <f t="shared" si="3"/>
        <v>18.195597477870248</v>
      </c>
      <c r="R29" s="14">
        <f t="shared" si="4"/>
        <v>4747.7752920705943</v>
      </c>
      <c r="S29" s="14">
        <f t="shared" si="5"/>
        <v>100.25029893535793</v>
      </c>
      <c r="T29" s="14">
        <f t="shared" si="0"/>
        <v>7.6459600000000009E-4</v>
      </c>
      <c r="U29" s="14">
        <f t="shared" si="6"/>
        <v>394.19972945166325</v>
      </c>
      <c r="V29" s="14">
        <f t="shared" si="7"/>
        <v>2.2527969237351154E-2</v>
      </c>
      <c r="W29" s="14">
        <f t="shared" si="8"/>
        <v>2.8949849341893867</v>
      </c>
      <c r="X29" s="14">
        <f t="shared" si="9"/>
        <v>0.18129264059470129</v>
      </c>
      <c r="Y29" s="14">
        <f t="shared" si="10"/>
        <v>4.6168600268E-6</v>
      </c>
      <c r="Z29" s="14">
        <f t="shared" si="11"/>
        <v>0.2589892222497428</v>
      </c>
      <c r="AA29" s="14">
        <f t="shared" si="12"/>
        <v>1.0395690707031607E-3</v>
      </c>
      <c r="AB29" s="14">
        <f t="shared" si="13"/>
        <v>7.0267074322644804E-3</v>
      </c>
      <c r="AC29" s="14">
        <f t="shared" si="14"/>
        <v>0.10809438357555501</v>
      </c>
      <c r="AD29" s="14">
        <f t="shared" si="15"/>
        <v>2.6802454022400005E-8</v>
      </c>
      <c r="AE29" s="14">
        <f t="shared" si="16"/>
        <v>9.4844454906070179E-3</v>
      </c>
      <c r="AF29" s="14">
        <f t="shared" si="17"/>
        <v>1.0119218228644485E-4</v>
      </c>
      <c r="AG29" s="14">
        <f t="shared" si="18"/>
        <v>1.2436781698803721E-2</v>
      </c>
      <c r="AH29" s="14">
        <f t="shared" si="19"/>
        <v>1.261152360945914E-3</v>
      </c>
      <c r="AI29" s="14">
        <f t="shared" si="20"/>
        <v>1.9903789935597243E-8</v>
      </c>
      <c r="AJ29" s="14">
        <f t="shared" si="21"/>
        <v>1.1522878773939399E-3</v>
      </c>
      <c r="AK29" s="14">
        <f t="shared" si="22"/>
        <v>2.2586028231690928E-2</v>
      </c>
      <c r="AL29" s="14">
        <f t="shared" si="23"/>
        <v>2.7758814585638731</v>
      </c>
      <c r="AM29" s="14">
        <f t="shared" si="24"/>
        <v>0.28148837375754171</v>
      </c>
      <c r="AN29" s="14">
        <f t="shared" si="25"/>
        <v>4.4425127637875239E-6</v>
      </c>
      <c r="AO29" s="14">
        <f t="shared" si="26"/>
        <v>0.25718989295224426</v>
      </c>
      <c r="AP29" s="14">
        <f t="shared" si="46"/>
        <v>2.2586028231690928E-2</v>
      </c>
      <c r="AQ29" s="14">
        <f t="shared" si="29"/>
        <v>2.7758814585638731</v>
      </c>
      <c r="AR29" s="14">
        <f t="shared" si="47"/>
        <v>0.28383392789556006</v>
      </c>
      <c r="AS29" s="14">
        <f t="shared" si="31"/>
        <v>4.4425127637875239E-6</v>
      </c>
      <c r="AT29" s="14">
        <f t="shared" si="51"/>
        <v>0.25554081995467759</v>
      </c>
      <c r="AU29" s="10">
        <f>$AU$26+(($AU$30-$AU$26)/($D$30-$D$26))*(D29-$D$26)</f>
        <v>2.5684304909142457E-2</v>
      </c>
      <c r="AV29" s="10">
        <f t="shared" si="59"/>
        <v>3.3298348786933869</v>
      </c>
      <c r="AW29" s="10">
        <f t="shared" si="60"/>
        <v>0.29808256131842953</v>
      </c>
      <c r="AX29" s="10">
        <f t="shared" si="61"/>
        <v>4.9004204977293071E-6</v>
      </c>
      <c r="AY29" s="10">
        <f t="shared" si="62"/>
        <v>0.27342152554284849</v>
      </c>
      <c r="AZ29" s="10">
        <f t="shared" si="48"/>
        <v>0.87937081854418098</v>
      </c>
      <c r="BA29" s="10">
        <f t="shared" si="49"/>
        <v>0.83363937242831609</v>
      </c>
      <c r="BB29" s="10">
        <f t="shared" si="34"/>
        <v>0.95219903720684873</v>
      </c>
      <c r="BC29" s="10">
        <f t="shared" ref="BC29:BC37" si="64">AS29/AX29</f>
        <v>0.90655746090484224</v>
      </c>
      <c r="BD29" s="10">
        <f t="shared" si="36"/>
        <v>0.93460388477947842</v>
      </c>
      <c r="BF29" s="14"/>
      <c r="BG29" s="22">
        <v>159.99999999999991</v>
      </c>
      <c r="BH29" s="21">
        <v>0.97674335139791124</v>
      </c>
    </row>
    <row r="30" spans="2:60" s="4" customFormat="1" x14ac:dyDescent="0.25">
      <c r="B30" s="4" t="s">
        <v>113</v>
      </c>
      <c r="C30" s="5" t="s">
        <v>45</v>
      </c>
      <c r="D30" s="6">
        <f t="shared" si="37"/>
        <v>427.99999999999994</v>
      </c>
      <c r="E30" s="7">
        <f t="shared" si="63"/>
        <v>0.29722222222222217</v>
      </c>
      <c r="F30" s="7">
        <v>0.72916666666666663</v>
      </c>
      <c r="G30" s="8">
        <v>9.9213000000000005</v>
      </c>
      <c r="H30" s="8">
        <v>18.693100000000001</v>
      </c>
      <c r="I30" s="8">
        <v>14.058299999999999</v>
      </c>
      <c r="J30" s="8">
        <f t="shared" si="1"/>
        <v>4.634800000000002</v>
      </c>
      <c r="K30" s="8">
        <f t="shared" si="2"/>
        <v>4.1369999999999987</v>
      </c>
      <c r="L30" s="13">
        <v>135511</v>
      </c>
      <c r="M30" s="13">
        <v>22425</v>
      </c>
      <c r="N30" s="13">
        <v>6792669</v>
      </c>
      <c r="O30" s="13">
        <v>157113</v>
      </c>
      <c r="P30" s="13">
        <v>1900626</v>
      </c>
      <c r="Q30" s="5">
        <f t="shared" si="3"/>
        <v>17.993195546546332</v>
      </c>
      <c r="R30" s="5">
        <f t="shared" si="4"/>
        <v>4865.0554764648732</v>
      </c>
      <c r="S30" s="5">
        <f t="shared" si="5"/>
        <v>95.901747511273101</v>
      </c>
      <c r="T30" s="5">
        <f t="shared" si="0"/>
        <v>7.2845200000000009E-4</v>
      </c>
      <c r="U30" s="5">
        <f t="shared" si="6"/>
        <v>362.89728689555307</v>
      </c>
      <c r="V30" s="5">
        <f t="shared" si="7"/>
        <v>2.2277375406179013E-2</v>
      </c>
      <c r="W30" s="5">
        <f t="shared" si="8"/>
        <v>2.9664972417468736</v>
      </c>
      <c r="X30" s="5">
        <f t="shared" si="9"/>
        <v>0.17342872019938627</v>
      </c>
      <c r="Y30" s="5">
        <f t="shared" si="10"/>
        <v>4.3986117115999995E-6</v>
      </c>
      <c r="Z30" s="5">
        <f t="shared" si="11"/>
        <v>0.23842351749037838</v>
      </c>
      <c r="AA30" s="5">
        <f t="shared" si="12"/>
        <v>1.0280052411608313E-3</v>
      </c>
      <c r="AB30" s="5">
        <f t="shared" si="13"/>
        <v>7.200282105168012E-3</v>
      </c>
      <c r="AC30" s="5">
        <f t="shared" si="14"/>
        <v>0.10340557974529266</v>
      </c>
      <c r="AD30" s="5">
        <f t="shared" si="15"/>
        <v>2.5535447788800005E-8</v>
      </c>
      <c r="AE30" s="5">
        <f t="shared" si="16"/>
        <v>8.7313087227070055E-3</v>
      </c>
      <c r="AF30" s="5">
        <f t="shared" si="17"/>
        <v>1.075040372152409E-4</v>
      </c>
      <c r="AG30" s="5">
        <f t="shared" si="18"/>
        <v>1.3778908983117497E-2</v>
      </c>
      <c r="AH30" s="5">
        <f t="shared" si="19"/>
        <v>1.2315963157863916E-3</v>
      </c>
      <c r="AI30" s="5">
        <f t="shared" si="20"/>
        <v>2.0492325708425955E-8</v>
      </c>
      <c r="AJ30" s="5">
        <f t="shared" si="21"/>
        <v>1.1411667430502451E-3</v>
      </c>
      <c r="AK30" s="5">
        <f t="shared" si="22"/>
        <v>2.598598917458084E-2</v>
      </c>
      <c r="AL30" s="5">
        <f t="shared" si="23"/>
        <v>3.3306524010436309</v>
      </c>
      <c r="AM30" s="5">
        <f t="shared" si="24"/>
        <v>0.29770275943591779</v>
      </c>
      <c r="AN30" s="5">
        <f t="shared" si="25"/>
        <v>4.9534265671805563E-6</v>
      </c>
      <c r="AO30" s="5">
        <f t="shared" si="26"/>
        <v>0.27584402781006662</v>
      </c>
      <c r="AP30" s="5">
        <f t="shared" si="46"/>
        <v>2.598598917458084E-2</v>
      </c>
      <c r="AQ30" s="5">
        <f t="shared" si="29"/>
        <v>3.3306524010436309</v>
      </c>
      <c r="AR30" s="5">
        <f t="shared" si="47"/>
        <v>0.30004831357393613</v>
      </c>
      <c r="AS30" s="5">
        <f t="shared" si="31"/>
        <v>4.9534265671805563E-6</v>
      </c>
      <c r="AT30" s="5">
        <f t="shared" si="51"/>
        <v>0.27419495481249995</v>
      </c>
      <c r="AU30" s="4">
        <f>AP30</f>
        <v>2.598598917458084E-2</v>
      </c>
      <c r="AV30" s="4">
        <f t="shared" ref="AV30:AY30" si="65">AQ30</f>
        <v>3.3306524010436309</v>
      </c>
      <c r="AW30" s="4">
        <f t="shared" si="65"/>
        <v>0.30004831357393613</v>
      </c>
      <c r="AX30" s="4">
        <f t="shared" si="65"/>
        <v>4.9534265671805563E-6</v>
      </c>
      <c r="AY30" s="4">
        <f t="shared" si="65"/>
        <v>0.27419495481249995</v>
      </c>
      <c r="AZ30" s="4">
        <f t="shared" si="48"/>
        <v>1</v>
      </c>
      <c r="BA30" s="4">
        <f t="shared" si="49"/>
        <v>1</v>
      </c>
      <c r="BB30" s="4">
        <f t="shared" si="34"/>
        <v>1</v>
      </c>
      <c r="BC30" s="4">
        <f t="shared" si="64"/>
        <v>1</v>
      </c>
      <c r="BD30" s="4">
        <f t="shared" si="36"/>
        <v>1</v>
      </c>
      <c r="BG30" s="22">
        <v>172</v>
      </c>
      <c r="BH30" s="21">
        <v>0.92210099414994806</v>
      </c>
    </row>
    <row r="31" spans="2:60" x14ac:dyDescent="0.25">
      <c r="B31" s="10" t="s">
        <v>114</v>
      </c>
      <c r="C31" s="15" t="s">
        <v>117</v>
      </c>
      <c r="D31" s="12">
        <f t="shared" si="37"/>
        <v>502</v>
      </c>
      <c r="E31" s="9">
        <f t="shared" si="63"/>
        <v>0.34861111111111109</v>
      </c>
      <c r="F31" s="9">
        <v>0.78055555555555556</v>
      </c>
      <c r="G31" s="11">
        <v>10.0121</v>
      </c>
      <c r="H31" s="11">
        <v>18.842300000000002</v>
      </c>
      <c r="I31" s="11">
        <v>14.7401</v>
      </c>
      <c r="J31" s="11">
        <f t="shared" si="1"/>
        <v>4.1022000000000016</v>
      </c>
      <c r="K31" s="11">
        <f t="shared" si="2"/>
        <v>4.7279999999999998</v>
      </c>
      <c r="L31" s="1">
        <v>150847</v>
      </c>
      <c r="M31" s="1">
        <v>22881</v>
      </c>
      <c r="N31" s="1">
        <v>7589307</v>
      </c>
      <c r="O31" s="1">
        <v>183702</v>
      </c>
      <c r="P31" s="1">
        <v>2253561</v>
      </c>
      <c r="Q31" s="15">
        <f t="shared" si="3"/>
        <v>19.555367674771571</v>
      </c>
      <c r="R31" s="15">
        <f t="shared" si="4"/>
        <v>4968.0993378979956</v>
      </c>
      <c r="S31" s="15">
        <f t="shared" si="5"/>
        <v>107.37853139901748</v>
      </c>
      <c r="T31" s="15">
        <f t="shared" si="0"/>
        <v>8.3480800000000014E-4</v>
      </c>
      <c r="U31" s="15">
        <f t="shared" si="6"/>
        <v>430.14093282018064</v>
      </c>
      <c r="V31" s="15">
        <f t="shared" si="7"/>
        <v>2.4211500718134681E-2</v>
      </c>
      <c r="W31" s="15">
        <f t="shared" si="8"/>
        <v>3.0293288645719483</v>
      </c>
      <c r="X31" s="15">
        <f t="shared" si="9"/>
        <v>0.19418333618198319</v>
      </c>
      <c r="Y31" s="15">
        <f t="shared" si="10"/>
        <v>5.0408211464000006E-6</v>
      </c>
      <c r="Z31" s="15">
        <f t="shared" si="11"/>
        <v>0.28260259286285871</v>
      </c>
      <c r="AA31" s="15">
        <f t="shared" si="12"/>
        <v>1.1172568213627244E-3</v>
      </c>
      <c r="AB31" s="15">
        <f t="shared" si="13"/>
        <v>7.3527870200890324E-3</v>
      </c>
      <c r="AC31" s="15">
        <f t="shared" si="14"/>
        <v>0.1157803645883336</v>
      </c>
      <c r="AD31" s="15">
        <f t="shared" si="15"/>
        <v>2.9263693555200005E-8</v>
      </c>
      <c r="AE31" s="15">
        <f t="shared" si="16"/>
        <v>1.0349190843653547E-2</v>
      </c>
      <c r="AF31" s="15">
        <f t="shared" si="17"/>
        <v>1.0460280849733509E-4</v>
      </c>
      <c r="AG31" s="15">
        <f t="shared" si="18"/>
        <v>1.2461676845278031E-2</v>
      </c>
      <c r="AH31" s="15">
        <f t="shared" si="19"/>
        <v>1.3439884454593729E-3</v>
      </c>
      <c r="AI31" s="15">
        <f t="shared" si="20"/>
        <v>2.0816815249891079E-8</v>
      </c>
      <c r="AJ31" s="15">
        <f t="shared" si="21"/>
        <v>1.2082233307508135E-3</v>
      </c>
      <c r="AK31" s="15">
        <f t="shared" si="22"/>
        <v>2.21241134723636E-2</v>
      </c>
      <c r="AL31" s="15">
        <f t="shared" si="23"/>
        <v>2.6357184528929847</v>
      </c>
      <c r="AM31" s="15">
        <f t="shared" si="24"/>
        <v>0.28426151553709239</v>
      </c>
      <c r="AN31" s="15">
        <f t="shared" si="25"/>
        <v>4.4028797059837307E-6</v>
      </c>
      <c r="AO31" s="15">
        <f t="shared" si="26"/>
        <v>0.25554638975271016</v>
      </c>
      <c r="AP31" s="15">
        <f t="shared" si="46"/>
        <v>2.21241134723636E-2</v>
      </c>
      <c r="AQ31" s="15">
        <f t="shared" si="29"/>
        <v>2.6357184528929847</v>
      </c>
      <c r="AR31" s="15">
        <f t="shared" si="47"/>
        <v>0.28660706967511074</v>
      </c>
      <c r="AS31" s="15">
        <f t="shared" si="31"/>
        <v>4.4028797059837307E-6</v>
      </c>
      <c r="AT31" s="15">
        <f t="shared" si="51"/>
        <v>0.25389731675514349</v>
      </c>
      <c r="AU31" s="10">
        <f>$AU$30+(($AU$33-$AU$30)/($D$33-$D$30))*(D31-$D$30)</f>
        <v>2.469404313785253E-2</v>
      </c>
      <c r="AV31" s="10">
        <f>$AV$30+(($AV$33-$AV$30)/($D$33-$D$30))*(D31-$D$30)</f>
        <v>3.0024223152674714</v>
      </c>
      <c r="AW31" s="10">
        <f>$AW$30+(($AW$33-$AW$30)/($D$33-$D$30))*(D31-$D$30)</f>
        <v>0.29165494918190754</v>
      </c>
      <c r="AX31" s="10">
        <f>$AX$30+(($AX$33-$AX$30)/($D$33-$D$30))*(D31-$D$30)</f>
        <v>4.7748727057456933E-6</v>
      </c>
      <c r="AY31" s="10">
        <f>$AY$30+(($AY$33-$AY$30)/($D$33-$D$30))*(D31-$D$30)</f>
        <v>0.26650210766772359</v>
      </c>
      <c r="AZ31" s="10">
        <f t="shared" si="48"/>
        <v>0.89592916594732985</v>
      </c>
      <c r="BA31" s="10">
        <f t="shared" si="49"/>
        <v>0.8778639965104913</v>
      </c>
      <c r="BB31" s="10">
        <f t="shared" si="34"/>
        <v>0.98269228922411189</v>
      </c>
      <c r="BC31" s="10">
        <f t="shared" si="64"/>
        <v>0.92209362999052591</v>
      </c>
      <c r="BD31" s="10">
        <f t="shared" si="36"/>
        <v>0.95270284718237264</v>
      </c>
      <c r="BF31" s="15"/>
      <c r="BG31" s="22">
        <v>173</v>
      </c>
      <c r="BH31" s="21">
        <v>0.93609805117898293</v>
      </c>
    </row>
    <row r="32" spans="2:60" x14ac:dyDescent="0.25">
      <c r="B32" s="10" t="s">
        <v>115</v>
      </c>
      <c r="C32" s="14" t="s">
        <v>117</v>
      </c>
      <c r="D32" s="12">
        <f t="shared" si="37"/>
        <v>562.99999999999989</v>
      </c>
      <c r="E32" s="9">
        <f t="shared" si="63"/>
        <v>0.39097222222222217</v>
      </c>
      <c r="F32" s="9">
        <v>0.82291666666666663</v>
      </c>
      <c r="G32" s="11">
        <v>9.9423999999999992</v>
      </c>
      <c r="H32" s="11">
        <v>18.9541</v>
      </c>
      <c r="I32" s="11">
        <v>14.9511</v>
      </c>
      <c r="J32" s="11">
        <f t="shared" si="1"/>
        <v>4.0030000000000001</v>
      </c>
      <c r="K32" s="11">
        <f t="shared" si="2"/>
        <v>5.008700000000001</v>
      </c>
      <c r="L32" s="1">
        <v>158558</v>
      </c>
      <c r="M32" s="1">
        <v>22248</v>
      </c>
      <c r="N32" s="1">
        <v>7667273</v>
      </c>
      <c r="O32" s="1">
        <v>196535</v>
      </c>
      <c r="P32" s="1">
        <v>2359289</v>
      </c>
      <c r="Q32" s="14">
        <f t="shared" si="3"/>
        <v>20.340833851137301</v>
      </c>
      <c r="R32" s="14">
        <f t="shared" si="4"/>
        <v>4825.0581881454373</v>
      </c>
      <c r="S32" s="14">
        <f t="shared" si="5"/>
        <v>108.50175039257776</v>
      </c>
      <c r="T32" s="14">
        <f t="shared" si="0"/>
        <v>8.861400000000001E-4</v>
      </c>
      <c r="U32" s="14">
        <f t="shared" si="6"/>
        <v>450.28497123042337</v>
      </c>
      <c r="V32" s="14">
        <f t="shared" si="7"/>
        <v>2.5183986391093094E-2</v>
      </c>
      <c r="W32" s="14">
        <f t="shared" si="8"/>
        <v>2.9421086513081933</v>
      </c>
      <c r="X32" s="14">
        <f t="shared" si="9"/>
        <v>0.19621456540993762</v>
      </c>
      <c r="Y32" s="14">
        <f t="shared" si="10"/>
        <v>5.3507791620000001E-6</v>
      </c>
      <c r="Z32" s="14">
        <f t="shared" si="11"/>
        <v>0.2958372260983882</v>
      </c>
      <c r="AA32" s="14">
        <f t="shared" si="12"/>
        <v>1.1621328604170273E-3</v>
      </c>
      <c r="AB32" s="14">
        <f t="shared" si="13"/>
        <v>7.1410861184552461E-3</v>
      </c>
      <c r="AC32" s="14">
        <f t="shared" si="14"/>
        <v>0.116991469852045</v>
      </c>
      <c r="AD32" s="14">
        <f t="shared" si="15"/>
        <v>3.1063106016000001E-8</v>
      </c>
      <c r="AE32" s="14">
        <f t="shared" si="16"/>
        <v>1.0833856407803984E-2</v>
      </c>
      <c r="AF32" s="14">
        <f t="shared" si="17"/>
        <v>1.0663227238151642E-4</v>
      </c>
      <c r="AG32" s="14">
        <f t="shared" si="18"/>
        <v>1.1813028489228205E-2</v>
      </c>
      <c r="AH32" s="14">
        <f t="shared" si="19"/>
        <v>1.3714220803839182E-3</v>
      </c>
      <c r="AI32" s="14">
        <f t="shared" si="20"/>
        <v>2.1574754764588339E-8</v>
      </c>
      <c r="AJ32" s="14">
        <f t="shared" si="21"/>
        <v>1.2384999526616157E-3</v>
      </c>
      <c r="AK32" s="14">
        <f t="shared" si="22"/>
        <v>2.1289410901334956E-2</v>
      </c>
      <c r="AL32" s="14">
        <f t="shared" si="23"/>
        <v>2.3585019045317552</v>
      </c>
      <c r="AM32" s="14">
        <f t="shared" si="24"/>
        <v>0.27380799017388102</v>
      </c>
      <c r="AN32" s="14">
        <f t="shared" si="25"/>
        <v>4.3074559795133133E-6</v>
      </c>
      <c r="AO32" s="14">
        <f t="shared" si="26"/>
        <v>0.24726974118266526</v>
      </c>
      <c r="AP32" s="14">
        <f t="shared" si="46"/>
        <v>2.1289410901334956E-2</v>
      </c>
      <c r="AQ32" s="14">
        <f t="shared" si="29"/>
        <v>2.3585019045317552</v>
      </c>
      <c r="AR32" s="14">
        <f t="shared" si="47"/>
        <v>0.27615354431189937</v>
      </c>
      <c r="AS32" s="14">
        <f t="shared" si="31"/>
        <v>4.3074559795133133E-6</v>
      </c>
      <c r="AT32" s="14">
        <f t="shared" si="51"/>
        <v>0.24562066818509856</v>
      </c>
      <c r="AU32" s="10">
        <f>$AU$30+(($AU$33-$AU$30)/($D$33-$D$30))*(D32-$D$30)</f>
        <v>2.362906059406298E-2</v>
      </c>
      <c r="AV32" s="10">
        <f>$AV$30+(($AV$33-$AV$30)/($D$33-$D$30))*(D32-$D$30)</f>
        <v>2.7318542715871241</v>
      </c>
      <c r="AW32" s="10">
        <f>$AW$30+(($AW$33-$AW$30)/($D$33-$D$30))*(D32-$D$30)</f>
        <v>0.28473609475064077</v>
      </c>
      <c r="AX32" s="10">
        <f>$AX$30+(($AX$33-$AX$30)/($D$33-$D$30))*(D32-$D$30)</f>
        <v>4.6276864145629015E-6</v>
      </c>
      <c r="AY32" s="10">
        <f>$AY$30+(($AY$33-$AY$30)/($D$33-$D$30))*(D32-$D$30)</f>
        <v>0.26016070664297553</v>
      </c>
      <c r="AZ32" s="10">
        <f t="shared" si="48"/>
        <v>0.90098422730712024</v>
      </c>
      <c r="BA32" s="10">
        <f t="shared" si="49"/>
        <v>0.86333371771018275</v>
      </c>
      <c r="BB32" s="10">
        <f t="shared" si="34"/>
        <v>0.9698578768306223</v>
      </c>
      <c r="BC32" s="10">
        <f t="shared" si="64"/>
        <v>0.93080118090070829</v>
      </c>
      <c r="BD32" s="10">
        <f t="shared" si="36"/>
        <v>0.94411132009327381</v>
      </c>
      <c r="BG32" s="22">
        <v>203</v>
      </c>
      <c r="BH32" s="21">
        <v>0.95305602411800616</v>
      </c>
    </row>
    <row r="33" spans="2:60" s="4" customFormat="1" x14ac:dyDescent="0.25">
      <c r="B33" s="4" t="s">
        <v>116</v>
      </c>
      <c r="C33" s="5" t="s">
        <v>46</v>
      </c>
      <c r="D33" s="6">
        <f t="shared" si="37"/>
        <v>573</v>
      </c>
      <c r="E33" s="7">
        <f t="shared" si="63"/>
        <v>0.3979166666666667</v>
      </c>
      <c r="F33" s="7">
        <v>0.82986111111111116</v>
      </c>
      <c r="G33" s="8">
        <v>9.9148999999999994</v>
      </c>
      <c r="H33" s="8">
        <v>18.988299999999999</v>
      </c>
      <c r="I33" s="8">
        <v>14.6351</v>
      </c>
      <c r="J33" s="8">
        <f t="shared" si="1"/>
        <v>4.3531999999999993</v>
      </c>
      <c r="K33" s="8">
        <f t="shared" si="2"/>
        <v>4.7202000000000002</v>
      </c>
      <c r="L33" s="13">
        <v>150914</v>
      </c>
      <c r="M33" s="13">
        <v>21989</v>
      </c>
      <c r="N33" s="13">
        <v>7245294</v>
      </c>
      <c r="O33" s="13">
        <v>180374</v>
      </c>
      <c r="P33" s="13">
        <v>2168506</v>
      </c>
      <c r="Q33" s="5">
        <f t="shared" si="3"/>
        <v>19.562192500840371</v>
      </c>
      <c r="R33" s="5">
        <f t="shared" si="4"/>
        <v>4766.5310826384657</v>
      </c>
      <c r="S33" s="5">
        <f t="shared" si="5"/>
        <v>102.42250010804892</v>
      </c>
      <c r="T33" s="5">
        <f t="shared" si="0"/>
        <v>8.2149600000000012E-4</v>
      </c>
      <c r="U33" s="5">
        <f t="shared" si="6"/>
        <v>413.93565903288498</v>
      </c>
      <c r="V33" s="5">
        <f t="shared" si="7"/>
        <v>2.4219950535290465E-2</v>
      </c>
      <c r="W33" s="5">
        <f t="shared" si="8"/>
        <v>2.9064213918527226</v>
      </c>
      <c r="X33" s="5">
        <f t="shared" si="9"/>
        <v>0.18522084919539566</v>
      </c>
      <c r="Y33" s="5">
        <f t="shared" si="10"/>
        <v>4.9604392968E-6</v>
      </c>
      <c r="Z33" s="5">
        <f t="shared" si="11"/>
        <v>0.27195572798460543</v>
      </c>
      <c r="AA33" s="5">
        <f t="shared" si="12"/>
        <v>1.1176467441505128E-3</v>
      </c>
      <c r="AB33" s="5">
        <f t="shared" si="13"/>
        <v>7.0544660023049285E-3</v>
      </c>
      <c r="AC33" s="5">
        <f t="shared" si="14"/>
        <v>0.11043654862900322</v>
      </c>
      <c r="AD33" s="5">
        <f t="shared" si="15"/>
        <v>2.8797049382400004E-8</v>
      </c>
      <c r="AE33" s="5">
        <f t="shared" si="16"/>
        <v>9.9592919563312142E-3</v>
      </c>
      <c r="AF33" s="5">
        <f t="shared" si="17"/>
        <v>1.1070980483196568E-4</v>
      </c>
      <c r="AG33" s="5">
        <f t="shared" si="18"/>
        <v>1.2685532093437349E-2</v>
      </c>
      <c r="AH33" s="5">
        <f t="shared" si="19"/>
        <v>1.3275859975560174E-3</v>
      </c>
      <c r="AI33" s="5">
        <f t="shared" si="20"/>
        <v>2.1729712179324559E-8</v>
      </c>
      <c r="AJ33" s="5">
        <f t="shared" si="21"/>
        <v>1.2308875249548586E-3</v>
      </c>
      <c r="AK33" s="5">
        <f t="shared" si="22"/>
        <v>2.3454473291802395E-2</v>
      </c>
      <c r="AL33" s="5">
        <f t="shared" si="23"/>
        <v>2.6874988545903453</v>
      </c>
      <c r="AM33" s="5">
        <f t="shared" si="24"/>
        <v>0.28125630218126718</v>
      </c>
      <c r="AN33" s="5">
        <f t="shared" si="25"/>
        <v>4.6035575143690007E-6</v>
      </c>
      <c r="AO33" s="5">
        <f t="shared" si="26"/>
        <v>0.26077020570205889</v>
      </c>
      <c r="AP33" s="5">
        <f t="shared" si="46"/>
        <v>2.3454473291802395E-2</v>
      </c>
      <c r="AQ33" s="5">
        <f t="shared" si="29"/>
        <v>2.6874988545903453</v>
      </c>
      <c r="AR33" s="5">
        <f t="shared" si="47"/>
        <v>0.28360185631928553</v>
      </c>
      <c r="AS33" s="5">
        <f t="shared" si="31"/>
        <v>4.6035575143690007E-6</v>
      </c>
      <c r="AT33" s="5">
        <f t="shared" si="51"/>
        <v>0.25912113270449222</v>
      </c>
      <c r="AU33" s="4">
        <f>AP33</f>
        <v>2.3454473291802395E-2</v>
      </c>
      <c r="AV33" s="4">
        <f t="shared" ref="AV33:AY33" si="66">AQ33</f>
        <v>2.6874988545903453</v>
      </c>
      <c r="AW33" s="4">
        <f t="shared" si="66"/>
        <v>0.28360185631928553</v>
      </c>
      <c r="AX33" s="4">
        <f t="shared" si="66"/>
        <v>4.6035575143690007E-6</v>
      </c>
      <c r="AY33" s="4">
        <f t="shared" si="66"/>
        <v>0.25912113270449222</v>
      </c>
      <c r="AZ33" s="4">
        <f t="shared" si="48"/>
        <v>1</v>
      </c>
      <c r="BA33" s="4">
        <f t="shared" si="49"/>
        <v>1</v>
      </c>
      <c r="BB33" s="4">
        <f t="shared" si="34"/>
        <v>1</v>
      </c>
      <c r="BC33" s="4">
        <f t="shared" si="64"/>
        <v>1</v>
      </c>
      <c r="BD33" s="4">
        <f t="shared" si="36"/>
        <v>1</v>
      </c>
      <c r="BF33" s="5"/>
      <c r="BG33" s="22">
        <v>208.00000000000006</v>
      </c>
      <c r="BH33" s="21">
        <v>0.960592900979794</v>
      </c>
    </row>
    <row r="34" spans="2:60" s="3" customFormat="1" x14ac:dyDescent="0.25">
      <c r="B34" s="3" t="s">
        <v>0</v>
      </c>
      <c r="C34" s="17" t="s">
        <v>117</v>
      </c>
      <c r="D34" s="18">
        <f t="shared" si="37"/>
        <v>639</v>
      </c>
      <c r="E34" s="19">
        <f t="shared" si="63"/>
        <v>0.44374999999999998</v>
      </c>
      <c r="F34" s="19">
        <v>0.87569444444444444</v>
      </c>
      <c r="G34" s="16">
        <v>9.9227000000000007</v>
      </c>
      <c r="H34" s="16">
        <v>18.843900000000001</v>
      </c>
      <c r="I34" s="16">
        <v>14.6602</v>
      </c>
      <c r="J34" s="16">
        <f t="shared" si="1"/>
        <v>4.1837000000000018</v>
      </c>
      <c r="K34" s="16">
        <f t="shared" si="2"/>
        <v>4.7374999999999989</v>
      </c>
      <c r="L34" s="20">
        <v>155879</v>
      </c>
      <c r="M34" s="20">
        <v>24492</v>
      </c>
      <c r="N34" s="20">
        <v>6907379</v>
      </c>
      <c r="O34" s="20">
        <v>188330</v>
      </c>
      <c r="P34" s="20">
        <v>2350651</v>
      </c>
      <c r="Q34" s="17">
        <f t="shared" si="3"/>
        <v>20.067942671461022</v>
      </c>
      <c r="R34" s="17">
        <f t="shared" si="4"/>
        <v>5332.1424536189643</v>
      </c>
      <c r="S34" s="17">
        <f t="shared" si="5"/>
        <v>97.554319796003625</v>
      </c>
      <c r="T34" s="17">
        <f t="shared" si="0"/>
        <v>8.5332000000000008E-4</v>
      </c>
      <c r="U34" s="17">
        <f t="shared" si="6"/>
        <v>448.63919902450175</v>
      </c>
      <c r="V34" s="17">
        <f t="shared" si="7"/>
        <v>2.4846119821535895E-2</v>
      </c>
      <c r="W34" s="17">
        <f t="shared" si="8"/>
        <v>3.2513063741579047</v>
      </c>
      <c r="X34" s="17">
        <f t="shared" si="9"/>
        <v>0.17641723191909295</v>
      </c>
      <c r="Y34" s="17">
        <f t="shared" si="10"/>
        <v>5.1526021560000002E-6</v>
      </c>
      <c r="Z34" s="17">
        <f t="shared" si="11"/>
        <v>0.29475595375909769</v>
      </c>
      <c r="AA34" s="17">
        <f t="shared" si="12"/>
        <v>1.1465417686485826E-3</v>
      </c>
      <c r="AB34" s="17">
        <f t="shared" si="13"/>
        <v>7.8915708313560661E-3</v>
      </c>
      <c r="AC34" s="17">
        <f t="shared" si="14"/>
        <v>0.10518745754844193</v>
      </c>
      <c r="AD34" s="17">
        <f t="shared" si="15"/>
        <v>2.9912620608000001E-8</v>
      </c>
      <c r="AE34" s="17">
        <f t="shared" si="16"/>
        <v>1.0794259128529514E-2</v>
      </c>
      <c r="AF34" s="17">
        <f t="shared" si="17"/>
        <v>1.0938045312633242E-4</v>
      </c>
      <c r="AG34" s="17">
        <f t="shared" si="18"/>
        <v>1.3639876794377982E-2</v>
      </c>
      <c r="AH34" s="17">
        <f t="shared" si="19"/>
        <v>1.2364023533156529E-3</v>
      </c>
      <c r="AI34" s="17">
        <f t="shared" si="20"/>
        <v>2.169865268018761E-8</v>
      </c>
      <c r="AJ34" s="17">
        <f t="shared" si="21"/>
        <v>1.2843082863633461E-3</v>
      </c>
      <c r="AK34" s="17">
        <f t="shared" si="22"/>
        <v>2.3088222295795768E-2</v>
      </c>
      <c r="AL34" s="17">
        <f t="shared" si="23"/>
        <v>2.8791296663594692</v>
      </c>
      <c r="AM34" s="17">
        <f t="shared" si="24"/>
        <v>0.26098202708509832</v>
      </c>
      <c r="AN34" s="17">
        <f t="shared" si="25"/>
        <v>4.5801905393535866E-6</v>
      </c>
      <c r="AO34" s="17">
        <f t="shared" si="26"/>
        <v>0.27109409738540291</v>
      </c>
      <c r="AP34" s="17">
        <f t="shared" si="46"/>
        <v>2.3088222295795768E-2</v>
      </c>
      <c r="AQ34" s="17">
        <f t="shared" si="29"/>
        <v>2.8791296663594692</v>
      </c>
      <c r="AR34" s="17">
        <f t="shared" si="47"/>
        <v>0.26332758122311667</v>
      </c>
      <c r="AS34" s="17">
        <f t="shared" si="31"/>
        <v>4.5801905393535866E-6</v>
      </c>
      <c r="AT34" s="17">
        <f t="shared" si="51"/>
        <v>0.26944502438783624</v>
      </c>
      <c r="AU34" s="3">
        <f>$AU$33+(($AU$37-$AU$33)/($D$37-$D$33))*(D34-$D$33)</f>
        <v>2.3638682225225742E-2</v>
      </c>
      <c r="AV34" s="3">
        <f>$AV$33+(($AV$37-$AV$33)/($D$37-$D$33))*(D34-$D$33)</f>
        <v>2.5983250093431702</v>
      </c>
      <c r="AW34" s="3">
        <f>$AW$33+(($AW$37-$AW$33)/($D$37-$D$33))*(D34-$D$33)</f>
        <v>0.28740679078728504</v>
      </c>
      <c r="AX34" s="3">
        <f>$AX$33+(($AX$37-$AX$33)/($D$37-$D$33))*(D34-$D$33)</f>
        <v>4.685479333099959E-6</v>
      </c>
      <c r="AY34" s="3">
        <f>$AY$33+(($AY$37-$AY$33)/($D$37-$D$33))*(D34-$D$33)</f>
        <v>0.25922762911606012</v>
      </c>
      <c r="AZ34" s="3">
        <f t="shared" si="48"/>
        <v>0.97671359493793797</v>
      </c>
      <c r="BA34" s="3">
        <f t="shared" si="49"/>
        <v>1.1080714137017385</v>
      </c>
      <c r="BB34" s="3">
        <f t="shared" si="34"/>
        <v>0.91621906532476527</v>
      </c>
      <c r="BC34" s="3">
        <f t="shared" si="64"/>
        <v>0.97752870383984547</v>
      </c>
      <c r="BD34" s="3">
        <f t="shared" si="36"/>
        <v>1.0394147618701617</v>
      </c>
      <c r="BG34" s="22">
        <v>233</v>
      </c>
      <c r="BH34" s="21">
        <v>0.97701252557154661</v>
      </c>
    </row>
    <row r="35" spans="2:60" x14ac:dyDescent="0.25">
      <c r="B35" s="10" t="s">
        <v>2</v>
      </c>
      <c r="C35" s="14" t="s">
        <v>117</v>
      </c>
      <c r="D35" s="12">
        <f t="shared" si="37"/>
        <v>642</v>
      </c>
      <c r="E35" s="9">
        <f t="shared" si="63"/>
        <v>0.4458333333333333</v>
      </c>
      <c r="F35" s="9">
        <v>0.87777777777777777</v>
      </c>
      <c r="G35" s="11">
        <v>9.7756000000000007</v>
      </c>
      <c r="H35" s="11">
        <v>18.975000000000001</v>
      </c>
      <c r="I35" s="11">
        <v>14.5684</v>
      </c>
      <c r="J35" s="11">
        <f t="shared" si="1"/>
        <v>4.406600000000001</v>
      </c>
      <c r="K35" s="11">
        <f t="shared" si="2"/>
        <v>4.7927999999999997</v>
      </c>
      <c r="L35" s="1">
        <v>133882</v>
      </c>
      <c r="M35" s="1">
        <v>18533</v>
      </c>
      <c r="N35" s="1">
        <v>6758909</v>
      </c>
      <c r="O35" s="1">
        <v>162278</v>
      </c>
      <c r="P35" s="1">
        <v>1945723</v>
      </c>
      <c r="Q35" s="14">
        <f t="shared" si="3"/>
        <v>17.827260596306445</v>
      </c>
      <c r="R35" s="14">
        <f t="shared" si="4"/>
        <v>3985.5670801979531</v>
      </c>
      <c r="S35" s="14">
        <f t="shared" si="5"/>
        <v>95.415383285551698</v>
      </c>
      <c r="T35" s="14">
        <f t="shared" si="0"/>
        <v>7.4911200000000013E-4</v>
      </c>
      <c r="U35" s="14">
        <f t="shared" si="6"/>
        <v>371.48948290972828</v>
      </c>
      <c r="V35" s="14">
        <f t="shared" si="7"/>
        <v>2.2071931344287012E-2</v>
      </c>
      <c r="W35" s="14">
        <f t="shared" si="8"/>
        <v>2.4302238293889959</v>
      </c>
      <c r="X35" s="14">
        <f t="shared" si="9"/>
        <v>0.17254917913359169</v>
      </c>
      <c r="Y35" s="14">
        <f t="shared" si="10"/>
        <v>4.5233629896000009E-6</v>
      </c>
      <c r="Z35" s="14">
        <f t="shared" si="11"/>
        <v>0.24406859027169148</v>
      </c>
      <c r="AA35" s="14">
        <f t="shared" si="12"/>
        <v>1.0185248796487762E-3</v>
      </c>
      <c r="AB35" s="14">
        <f t="shared" si="13"/>
        <v>5.8986392786929704E-3</v>
      </c>
      <c r="AC35" s="14">
        <f t="shared" si="14"/>
        <v>0.1028811599507297</v>
      </c>
      <c r="AD35" s="14">
        <f t="shared" si="15"/>
        <v>2.6259671692800006E-8</v>
      </c>
      <c r="AE35" s="14">
        <f t="shared" si="16"/>
        <v>8.9380369588080624E-3</v>
      </c>
      <c r="AF35" s="14">
        <f t="shared" si="17"/>
        <v>1.0214375870491582E-4</v>
      </c>
      <c r="AG35" s="14">
        <f t="shared" si="18"/>
        <v>1.0737295324920473E-2</v>
      </c>
      <c r="AH35" s="14">
        <f t="shared" si="19"/>
        <v>1.2534440361819427E-3</v>
      </c>
      <c r="AI35" s="14">
        <f t="shared" si="20"/>
        <v>2.0058508704460623E-8</v>
      </c>
      <c r="AJ35" s="14">
        <f t="shared" si="21"/>
        <v>1.1183508734274113E-3</v>
      </c>
      <c r="AK35" s="14">
        <f t="shared" si="22"/>
        <v>2.13119176066007E-2</v>
      </c>
      <c r="AL35" s="14">
        <f t="shared" si="23"/>
        <v>2.2402969714823224</v>
      </c>
      <c r="AM35" s="14">
        <f t="shared" si="24"/>
        <v>0.261526463900422</v>
      </c>
      <c r="AN35" s="14">
        <f t="shared" si="25"/>
        <v>4.1851336806168892E-6</v>
      </c>
      <c r="AO35" s="14">
        <f t="shared" si="26"/>
        <v>0.23333977495981709</v>
      </c>
      <c r="AP35" s="14">
        <f t="shared" si="46"/>
        <v>2.13119176066007E-2</v>
      </c>
      <c r="AQ35" s="14">
        <f t="shared" si="29"/>
        <v>2.2402969714823224</v>
      </c>
      <c r="AR35" s="14">
        <f t="shared" si="47"/>
        <v>0.26387201803844035</v>
      </c>
      <c r="AS35" s="14">
        <f t="shared" si="31"/>
        <v>4.1851336806168892E-6</v>
      </c>
      <c r="AT35" s="14">
        <f t="shared" si="51"/>
        <v>0.23169070196225039</v>
      </c>
      <c r="AU35" s="10">
        <f t="shared" ref="AU35:AU36" si="67">$AU$33+(($AU$37-$AU$33)/($D$37-$D$33))*(D35-$D$33)</f>
        <v>2.3647055358563165E-2</v>
      </c>
      <c r="AV35" s="10">
        <f t="shared" ref="AV35:AV36" si="68">$AV$33+(($AV$37-$AV$33)/($D$37-$D$33))*(D35-$D$33)</f>
        <v>2.5942716527410261</v>
      </c>
      <c r="AW35" s="10">
        <f t="shared" ref="AW35:AW36" si="69">$AW$33+(($AW$37-$AW$33)/($D$37-$D$33))*(D35-$D$33)</f>
        <v>0.28757974235401229</v>
      </c>
      <c r="AX35" s="10">
        <f t="shared" ref="AX35:AX36" si="70">$AX$33+(($AX$37-$AX$33)/($D$37-$D$33))*(D35-$D$33)</f>
        <v>4.6892030521331845E-6</v>
      </c>
      <c r="AY35" s="10">
        <f t="shared" ref="AY35:AY36" si="71">$AY$33+(($AY$37-$AY$33)/($D$37-$D$33))*(D35-$D$33)</f>
        <v>0.25923246986204046</v>
      </c>
      <c r="AZ35" s="10">
        <f t="shared" si="48"/>
        <v>0.90125037910410033</v>
      </c>
      <c r="BA35" s="10">
        <f t="shared" si="49"/>
        <v>0.86355527537576682</v>
      </c>
      <c r="BB35" s="10">
        <f t="shared" si="34"/>
        <v>0.91756121581614192</v>
      </c>
      <c r="BC35" s="10">
        <f t="shared" si="64"/>
        <v>0.89250425585921533</v>
      </c>
      <c r="BD35" s="10">
        <f t="shared" si="36"/>
        <v>0.89375648847365696</v>
      </c>
      <c r="BF35" s="14"/>
      <c r="BG35" s="22">
        <v>239.99999999999994</v>
      </c>
      <c r="BH35" s="21">
        <v>1.0068908588450634</v>
      </c>
    </row>
    <row r="36" spans="2:60" x14ac:dyDescent="0.25">
      <c r="B36" s="10" t="s">
        <v>3</v>
      </c>
      <c r="C36" s="14" t="s">
        <v>117</v>
      </c>
      <c r="D36" s="12">
        <f t="shared" si="37"/>
        <v>712</v>
      </c>
      <c r="E36" s="9">
        <f t="shared" si="63"/>
        <v>0.49444444444444446</v>
      </c>
      <c r="F36" s="9">
        <v>0.92638888888888893</v>
      </c>
      <c r="G36" s="11">
        <v>9.9088999999999992</v>
      </c>
      <c r="H36" s="11">
        <v>19.114999999999998</v>
      </c>
      <c r="I36" s="11">
        <v>14.919700000000001</v>
      </c>
      <c r="J36" s="11">
        <f t="shared" si="1"/>
        <v>4.1952999999999978</v>
      </c>
      <c r="K36" s="11">
        <f t="shared" si="2"/>
        <v>5.0108000000000015</v>
      </c>
      <c r="L36" s="1">
        <v>143870</v>
      </c>
      <c r="M36" s="1">
        <v>19098</v>
      </c>
      <c r="N36" s="1">
        <v>7170403</v>
      </c>
      <c r="O36" s="1">
        <v>176455</v>
      </c>
      <c r="P36" s="1">
        <v>2144578</v>
      </c>
      <c r="Q36" s="14">
        <f t="shared" si="3"/>
        <v>18.844668995935663</v>
      </c>
      <c r="R36" s="14">
        <f t="shared" si="4"/>
        <v>4113.2420400876781</v>
      </c>
      <c r="S36" s="14">
        <f t="shared" si="5"/>
        <v>101.34358117355539</v>
      </c>
      <c r="T36" s="14">
        <f t="shared" si="0"/>
        <v>8.0582000000000006E-4</v>
      </c>
      <c r="U36" s="14">
        <f t="shared" si="6"/>
        <v>409.37672903250393</v>
      </c>
      <c r="V36" s="14">
        <f t="shared" si="7"/>
        <v>2.3331584683867944E-2</v>
      </c>
      <c r="W36" s="14">
        <f t="shared" si="8"/>
        <v>2.5080744146876084</v>
      </c>
      <c r="X36" s="14">
        <f t="shared" si="9"/>
        <v>0.18326973219425757</v>
      </c>
      <c r="Y36" s="14">
        <f t="shared" si="10"/>
        <v>4.8657829060000005E-6</v>
      </c>
      <c r="Z36" s="14">
        <f t="shared" si="11"/>
        <v>0.26896051097435508</v>
      </c>
      <c r="AA36" s="14">
        <f t="shared" si="12"/>
        <v>1.0766524737447921E-3</v>
      </c>
      <c r="AB36" s="14">
        <f t="shared" si="13"/>
        <v>6.087598219329764E-3</v>
      </c>
      <c r="AC36" s="14">
        <f t="shared" si="14"/>
        <v>0.10927320968248022</v>
      </c>
      <c r="AD36" s="14">
        <f t="shared" si="15"/>
        <v>2.8247536608000002E-8</v>
      </c>
      <c r="AE36" s="14">
        <f t="shared" si="16"/>
        <v>9.8496041005220435E-3</v>
      </c>
      <c r="AF36" s="14">
        <f t="shared" si="17"/>
        <v>1.0327788743967155E-4</v>
      </c>
      <c r="AG36" s="14">
        <f t="shared" si="18"/>
        <v>1.0552628329096335E-2</v>
      </c>
      <c r="AH36" s="14">
        <f t="shared" si="19"/>
        <v>1.3164177065515406E-3</v>
      </c>
      <c r="AI36" s="14">
        <f t="shared" si="20"/>
        <v>2.0554961781977159E-8</v>
      </c>
      <c r="AJ36" s="14">
        <f t="shared" si="21"/>
        <v>1.1777244279176072E-3</v>
      </c>
      <c r="AK36" s="14">
        <f t="shared" si="22"/>
        <v>2.0611057603510719E-2</v>
      </c>
      <c r="AL36" s="14">
        <f t="shared" si="23"/>
        <v>2.1059767560262497</v>
      </c>
      <c r="AM36" s="14">
        <f t="shared" si="24"/>
        <v>0.26271607458919544</v>
      </c>
      <c r="AN36" s="14">
        <f t="shared" si="25"/>
        <v>4.1021317518115183E-6</v>
      </c>
      <c r="AO36" s="14">
        <f t="shared" si="26"/>
        <v>0.23503720522024565</v>
      </c>
      <c r="AP36" s="14">
        <f t="shared" si="46"/>
        <v>2.0611057603510719E-2</v>
      </c>
      <c r="AQ36" s="14">
        <f t="shared" si="29"/>
        <v>2.1059767560262497</v>
      </c>
      <c r="AR36" s="14">
        <f t="shared" si="47"/>
        <v>0.26506162872721378</v>
      </c>
      <c r="AS36" s="14">
        <f t="shared" si="31"/>
        <v>4.1021317518115183E-6</v>
      </c>
      <c r="AT36" s="14">
        <f t="shared" si="51"/>
        <v>0.23338813222267896</v>
      </c>
      <c r="AU36" s="10">
        <f t="shared" si="67"/>
        <v>2.3842428469769746E-2</v>
      </c>
      <c r="AV36" s="10">
        <f t="shared" si="68"/>
        <v>2.4996933320243251</v>
      </c>
      <c r="AW36" s="10">
        <f t="shared" si="69"/>
        <v>0.29161527891098143</v>
      </c>
      <c r="AX36" s="10">
        <f t="shared" si="70"/>
        <v>4.7760898295751093E-6</v>
      </c>
      <c r="AY36" s="10">
        <f t="shared" si="71"/>
        <v>0.25934542060158217</v>
      </c>
      <c r="AZ36" s="10">
        <f t="shared" si="48"/>
        <v>0.86446972587728876</v>
      </c>
      <c r="BA36" s="10">
        <f t="shared" si="49"/>
        <v>0.84249404878828393</v>
      </c>
      <c r="BB36" s="10">
        <f t="shared" si="34"/>
        <v>0.90894287061044754</v>
      </c>
      <c r="BC36" s="10">
        <f t="shared" si="64"/>
        <v>0.85888915371938312</v>
      </c>
      <c r="BD36" s="10">
        <f t="shared" si="36"/>
        <v>0.89991229334725775</v>
      </c>
      <c r="BG36" s="22">
        <v>270</v>
      </c>
      <c r="BH36" s="21">
        <v>0.97351326131428795</v>
      </c>
    </row>
    <row r="37" spans="2:60" s="5" customFormat="1" x14ac:dyDescent="0.25">
      <c r="B37" s="4" t="s">
        <v>4</v>
      </c>
      <c r="C37" s="5" t="s">
        <v>47</v>
      </c>
      <c r="D37" s="6">
        <f t="shared" si="37"/>
        <v>713</v>
      </c>
      <c r="E37" s="7">
        <f t="shared" si="63"/>
        <v>0.49513888888888891</v>
      </c>
      <c r="F37" s="7">
        <v>0.92708333333333337</v>
      </c>
      <c r="G37" s="5">
        <v>9.8741000000000003</v>
      </c>
      <c r="H37" s="5">
        <v>18.978300000000001</v>
      </c>
      <c r="I37" s="5">
        <v>14.386699999999999</v>
      </c>
      <c r="J37" s="5">
        <f t="shared" si="1"/>
        <v>4.5916000000000015</v>
      </c>
      <c r="K37" s="5">
        <f t="shared" si="2"/>
        <v>4.5125999999999991</v>
      </c>
      <c r="L37" s="13">
        <v>136628</v>
      </c>
      <c r="M37" s="13">
        <v>18673</v>
      </c>
      <c r="N37" s="13">
        <v>7017606</v>
      </c>
      <c r="O37" s="13">
        <v>168287</v>
      </c>
      <c r="P37" s="13">
        <v>1973890</v>
      </c>
      <c r="Q37" s="5">
        <f t="shared" si="3"/>
        <v>18.106976602051521</v>
      </c>
      <c r="R37" s="5">
        <f t="shared" si="4"/>
        <v>4017.2033534449647</v>
      </c>
      <c r="S37" s="5">
        <f t="shared" si="5"/>
        <v>99.142307636897982</v>
      </c>
      <c r="T37" s="5">
        <f t="shared" si="0"/>
        <v>7.7314800000000009E-4</v>
      </c>
      <c r="U37" s="5">
        <f t="shared" si="6"/>
        <v>376.85605685325606</v>
      </c>
      <c r="V37" s="5">
        <f t="shared" si="7"/>
        <v>2.2418247730999985E-2</v>
      </c>
      <c r="W37" s="5">
        <f t="shared" si="8"/>
        <v>2.4495142399054659</v>
      </c>
      <c r="X37" s="5">
        <f t="shared" si="9"/>
        <v>0.17928894913056631</v>
      </c>
      <c r="Y37" s="5">
        <f t="shared" si="10"/>
        <v>4.6684995684000007E-6</v>
      </c>
      <c r="Z37" s="5">
        <f t="shared" si="11"/>
        <v>0.24759442935258927</v>
      </c>
      <c r="AA37" s="5">
        <f t="shared" si="12"/>
        <v>1.0345058942050098E-3</v>
      </c>
      <c r="AB37" s="5">
        <f t="shared" si="13"/>
        <v>5.9454609630985485E-3</v>
      </c>
      <c r="AC37" s="5">
        <f t="shared" si="14"/>
        <v>0.10689969749794706</v>
      </c>
      <c r="AD37" s="5">
        <f t="shared" si="15"/>
        <v>2.7102239251200005E-8</v>
      </c>
      <c r="AE37" s="5">
        <f t="shared" si="16"/>
        <v>9.0671567278893406E-3</v>
      </c>
      <c r="AF37" s="5">
        <f t="shared" si="17"/>
        <v>1.0760393757984909E-4</v>
      </c>
      <c r="AG37" s="5">
        <f t="shared" si="18"/>
        <v>1.1274019071092021E-2</v>
      </c>
      <c r="AH37" s="5">
        <f t="shared" si="19"/>
        <v>1.3056187137571442E-3</v>
      </c>
      <c r="AI37" s="5">
        <f t="shared" si="20"/>
        <v>2.1558184183110414E-8</v>
      </c>
      <c r="AJ37" s="5">
        <f t="shared" si="21"/>
        <v>1.1777710332656227E-3</v>
      </c>
      <c r="AK37" s="5">
        <f t="shared" si="22"/>
        <v>2.3845219514215553E-2</v>
      </c>
      <c r="AL37" s="5">
        <f t="shared" si="23"/>
        <v>2.4983422131569437</v>
      </c>
      <c r="AM37" s="5">
        <f t="shared" si="24"/>
        <v>0.28932737529520552</v>
      </c>
      <c r="AN37" s="5">
        <f t="shared" si="25"/>
        <v>4.7773310692528511E-6</v>
      </c>
      <c r="AO37" s="5">
        <f t="shared" si="26"/>
        <v>0.2609961071811423</v>
      </c>
      <c r="AP37" s="5">
        <f t="shared" si="46"/>
        <v>2.3845219514215553E-2</v>
      </c>
      <c r="AQ37" s="5">
        <f t="shared" si="29"/>
        <v>2.4983422131569437</v>
      </c>
      <c r="AR37" s="5">
        <f t="shared" si="47"/>
        <v>0.29167292943322387</v>
      </c>
      <c r="AS37" s="5">
        <f t="shared" si="31"/>
        <v>4.7773310692528511E-6</v>
      </c>
      <c r="AT37" s="5">
        <f t="shared" si="51"/>
        <v>0.25934703418357563</v>
      </c>
      <c r="AU37" s="4">
        <f>AP37</f>
        <v>2.3845219514215553E-2</v>
      </c>
      <c r="AV37" s="4">
        <f t="shared" ref="AV37:AY37" si="72">AQ37</f>
        <v>2.4983422131569437</v>
      </c>
      <c r="AW37" s="4">
        <f t="shared" si="72"/>
        <v>0.29167292943322387</v>
      </c>
      <c r="AX37" s="4">
        <f t="shared" si="72"/>
        <v>4.7773310692528511E-6</v>
      </c>
      <c r="AY37" s="4">
        <f t="shared" si="72"/>
        <v>0.25934703418357563</v>
      </c>
      <c r="AZ37" s="4">
        <f t="shared" si="48"/>
        <v>1</v>
      </c>
      <c r="BA37" s="4">
        <f t="shared" si="49"/>
        <v>1</v>
      </c>
      <c r="BB37" s="4">
        <f t="shared" si="34"/>
        <v>1</v>
      </c>
      <c r="BC37" s="4">
        <f t="shared" si="64"/>
        <v>1</v>
      </c>
      <c r="BD37" s="4">
        <f t="shared" si="36"/>
        <v>1</v>
      </c>
      <c r="BE37" s="4"/>
      <c r="BG37" s="6">
        <v>296.00000000000006</v>
      </c>
      <c r="BH37" s="4">
        <v>1.0319240569931452</v>
      </c>
    </row>
    <row r="38" spans="2:60" x14ac:dyDescent="0.25">
      <c r="B38" s="10" t="s">
        <v>5</v>
      </c>
      <c r="C38" s="14" t="s">
        <v>120</v>
      </c>
      <c r="D38" s="12"/>
      <c r="E38" s="9"/>
      <c r="F38" s="9"/>
      <c r="L38" t="s">
        <v>1</v>
      </c>
      <c r="M38" t="s">
        <v>1</v>
      </c>
      <c r="N38" s="1">
        <v>373701</v>
      </c>
      <c r="O38" t="s">
        <v>1</v>
      </c>
      <c r="P38" s="1">
        <v>330557</v>
      </c>
      <c r="BF38" s="14"/>
      <c r="BG38" s="22">
        <v>309</v>
      </c>
      <c r="BH38" s="21">
        <v>0.96516886193159412</v>
      </c>
    </row>
    <row r="39" spans="2:60" x14ac:dyDescent="0.25">
      <c r="BF39" s="14"/>
      <c r="BG39" s="22">
        <v>353.99999999999989</v>
      </c>
      <c r="BH39" s="21">
        <v>0.98912536338513446</v>
      </c>
    </row>
    <row r="40" spans="2:60" x14ac:dyDescent="0.25">
      <c r="BF40" s="14"/>
      <c r="BG40" s="22">
        <v>413</v>
      </c>
      <c r="BH40" s="21">
        <v>0.98078096400244064</v>
      </c>
    </row>
    <row r="41" spans="2:60" x14ac:dyDescent="0.25">
      <c r="BF41" s="14"/>
      <c r="BG41" s="22">
        <v>427.99999999999994</v>
      </c>
      <c r="BH41" s="21">
        <v>1.0004306786778165</v>
      </c>
    </row>
    <row r="42" spans="2:60" x14ac:dyDescent="0.25">
      <c r="BF42" s="14"/>
      <c r="BG42" s="22">
        <v>502</v>
      </c>
      <c r="BH42" s="21">
        <v>0.97943509313426413</v>
      </c>
    </row>
    <row r="43" spans="2:60" x14ac:dyDescent="0.25">
      <c r="BF43" s="14"/>
      <c r="BG43" s="22">
        <v>562.99999999999989</v>
      </c>
      <c r="BH43" s="21">
        <v>0.97728169974518186</v>
      </c>
    </row>
    <row r="44" spans="2:60" x14ac:dyDescent="0.25">
      <c r="BF44" s="14"/>
      <c r="BG44" s="6">
        <v>573</v>
      </c>
      <c r="BH44" s="4">
        <v>0.98993288590604034</v>
      </c>
    </row>
    <row r="45" spans="2:60" x14ac:dyDescent="0.25">
      <c r="BF45" s="14"/>
      <c r="BG45" s="22">
        <v>639</v>
      </c>
      <c r="BH45" s="21">
        <v>0.97620500305064073</v>
      </c>
    </row>
    <row r="46" spans="2:60" x14ac:dyDescent="0.25">
      <c r="BF46" s="14"/>
      <c r="BG46" s="22">
        <v>642</v>
      </c>
      <c r="BH46" s="21">
        <v>0.96759142949431143</v>
      </c>
    </row>
    <row r="47" spans="2:60" x14ac:dyDescent="0.25">
      <c r="BF47" s="14"/>
      <c r="BG47" s="22">
        <v>712</v>
      </c>
      <c r="BH47" s="21">
        <v>0.95763198506980585</v>
      </c>
    </row>
    <row r="48" spans="2:60" x14ac:dyDescent="0.25">
      <c r="BF48" s="14"/>
      <c r="BG48" s="6">
        <v>713</v>
      </c>
      <c r="BH48" s="4">
        <v>0.96382299106341773</v>
      </c>
    </row>
    <row r="49" spans="58:60" x14ac:dyDescent="0.25">
      <c r="BF49" s="14"/>
      <c r="BH49"/>
    </row>
    <row r="50" spans="58:60" x14ac:dyDescent="0.25">
      <c r="BH50"/>
    </row>
    <row r="51" spans="58:60" x14ac:dyDescent="0.25">
      <c r="BH51"/>
    </row>
  </sheetData>
  <autoFilter ref="BG12:BH48" xr:uid="{0AD4ED84-AD5B-42D8-B3C3-AAC4C8D3E0C0}">
    <sortState xmlns:xlrd2="http://schemas.microsoft.com/office/spreadsheetml/2017/richdata2" ref="BG13:BH48">
      <sortCondition ref="BG12:BG48"/>
    </sortState>
  </autoFilter>
  <mergeCells count="10">
    <mergeCell ref="BG4:BH4"/>
    <mergeCell ref="AF4:AI4"/>
    <mergeCell ref="AP4:AT4"/>
    <mergeCell ref="AU4:AY4"/>
    <mergeCell ref="AZ4:BD4"/>
    <mergeCell ref="L4:P4"/>
    <mergeCell ref="Q4:U4"/>
    <mergeCell ref="V4:Z4"/>
    <mergeCell ref="AA4:AE4"/>
    <mergeCell ref="AK4:A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Autosampler - FID</vt:lpstr>
      <vt:lpstr>Autosampler - TCD</vt:lpstr>
      <vt:lpstr>Autosampler - ECD</vt:lpstr>
      <vt:lpstr>Aqueous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reid_lab</dc:creator>
  <cp:lastModifiedBy>Phil McGuire</cp:lastModifiedBy>
  <dcterms:created xsi:type="dcterms:W3CDTF">2017-11-13T18:12:49Z</dcterms:created>
  <dcterms:modified xsi:type="dcterms:W3CDTF">2020-06-11T19:07:28Z</dcterms:modified>
</cp:coreProperties>
</file>