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pmcgu\OneDrive - Cornell University\Documents\First Publication Tracer Tests\"/>
    </mc:Choice>
  </mc:AlternateContent>
  <xr:revisionPtr revIDLastSave="256" documentId="8_{46BC4A7C-50E2-4710-8D46-C6B9320C0B04}" xr6:coauthVersionLast="45" xr6:coauthVersionMax="45" xr10:uidLastSave="{973F66CC-CF9D-4AFD-BF46-A5F2B81F2A3B}"/>
  <bookViews>
    <workbookView minimized="1" xWindow="5655" yWindow="60" windowWidth="16200" windowHeight="11385" firstSheet="3" activeTab="3" xr2:uid="{00000000-000D-0000-FFFF-FFFF00000000}"/>
  </bookViews>
  <sheets>
    <sheet name="Autosampler - FID" sheetId="1" r:id="rId1"/>
    <sheet name="Autosampler - TCD" sheetId="2" r:id="rId2"/>
    <sheet name="Autosampler - ECD" sheetId="3" r:id="rId3"/>
    <sheet name="Aqueous Samples" sheetId="4" r:id="rId4"/>
  </sheets>
  <definedNames>
    <definedName name="_xlnm._FilterDatabase" localSheetId="3" hidden="1">'Aqueous Samples'!$BG$12:$BH$49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" i="4" l="1"/>
  <c r="X2" i="4"/>
  <c r="E12" i="4" l="1"/>
  <c r="J27" i="4" l="1"/>
  <c r="K27" i="4"/>
  <c r="E29" i="4"/>
  <c r="E30" i="4"/>
  <c r="E31" i="4"/>
  <c r="E32" i="4"/>
  <c r="E33" i="4"/>
  <c r="E34" i="4"/>
  <c r="E35" i="4"/>
  <c r="E36" i="4"/>
  <c r="E37" i="4"/>
  <c r="E28" i="4"/>
  <c r="E27" i="4"/>
  <c r="D27" i="4" s="1"/>
  <c r="U27" i="4"/>
  <c r="Z27" i="4" s="1"/>
  <c r="T27" i="4"/>
  <c r="Y27" i="4" s="1"/>
  <c r="S27" i="4"/>
  <c r="X27" i="4" s="1"/>
  <c r="R27" i="4"/>
  <c r="AB27" i="4" s="1"/>
  <c r="Q27" i="4"/>
  <c r="AA27" i="4" s="1"/>
  <c r="W27" i="4" l="1"/>
  <c r="AG27" i="4" s="1"/>
  <c r="AL27" i="4" s="1"/>
  <c r="V27" i="4"/>
  <c r="AF27" i="4" s="1"/>
  <c r="AK27" i="4" s="1"/>
  <c r="AE27" i="4"/>
  <c r="AJ27" i="4" s="1"/>
  <c r="AO27" i="4" s="1"/>
  <c r="AD27" i="4"/>
  <c r="AI27" i="4" s="1"/>
  <c r="AN27" i="4" s="1"/>
  <c r="AC27" i="4"/>
  <c r="AH27" i="4" s="1"/>
  <c r="AM27" i="4" s="1"/>
  <c r="U35" i="4" l="1"/>
  <c r="Z35" i="4" s="1"/>
  <c r="U36" i="4"/>
  <c r="Z36" i="4" s="1"/>
  <c r="U37" i="4"/>
  <c r="Z37" i="4" s="1"/>
  <c r="T35" i="4"/>
  <c r="AD35" i="4" s="1"/>
  <c r="T36" i="4"/>
  <c r="Y36" i="4" s="1"/>
  <c r="T37" i="4"/>
  <c r="Y37" i="4" s="1"/>
  <c r="S35" i="4"/>
  <c r="X35" i="4" s="1"/>
  <c r="S36" i="4"/>
  <c r="AC36" i="4" s="1"/>
  <c r="S37" i="4"/>
  <c r="X37" i="4" s="1"/>
  <c r="R35" i="4"/>
  <c r="W35" i="4" s="1"/>
  <c r="R36" i="4"/>
  <c r="W36" i="4" s="1"/>
  <c r="R37" i="4"/>
  <c r="AB37" i="4" s="1"/>
  <c r="Q35" i="4"/>
  <c r="V35" i="4" s="1"/>
  <c r="Q36" i="4"/>
  <c r="V36" i="4" s="1"/>
  <c r="Q37" i="4"/>
  <c r="V37" i="4" s="1"/>
  <c r="J37" i="4"/>
  <c r="K37" i="4"/>
  <c r="J36" i="4"/>
  <c r="K36" i="4"/>
  <c r="J35" i="4"/>
  <c r="K35" i="4"/>
  <c r="D37" i="4"/>
  <c r="D36" i="4"/>
  <c r="D35" i="4"/>
  <c r="AA37" i="4" l="1"/>
  <c r="W37" i="4"/>
  <c r="AG37" i="4" s="1"/>
  <c r="AL37" i="4" s="1"/>
  <c r="AB36" i="4"/>
  <c r="AG36" i="4" s="1"/>
  <c r="AL36" i="4" s="1"/>
  <c r="AF37" i="4"/>
  <c r="AK37" i="4" s="1"/>
  <c r="X36" i="4"/>
  <c r="AH36" i="4" s="1"/>
  <c r="AM36" i="4" s="1"/>
  <c r="AC35" i="4"/>
  <c r="AH35" i="4" s="1"/>
  <c r="AM35" i="4" s="1"/>
  <c r="Y35" i="4"/>
  <c r="AI35" i="4" s="1"/>
  <c r="AN35" i="4" s="1"/>
  <c r="AE37" i="4"/>
  <c r="AJ37" i="4" s="1"/>
  <c r="AO37" i="4" s="1"/>
  <c r="AA36" i="4"/>
  <c r="AF36" i="4" s="1"/>
  <c r="AK36" i="4" s="1"/>
  <c r="AB35" i="4"/>
  <c r="AG35" i="4" s="1"/>
  <c r="AL35" i="4" s="1"/>
  <c r="AD37" i="4"/>
  <c r="AI37" i="4" s="1"/>
  <c r="AN37" i="4" s="1"/>
  <c r="AE36" i="4"/>
  <c r="AJ36" i="4" s="1"/>
  <c r="AO36" i="4" s="1"/>
  <c r="AA35" i="4"/>
  <c r="AF35" i="4" s="1"/>
  <c r="AK35" i="4" s="1"/>
  <c r="AC37" i="4"/>
  <c r="AH37" i="4" s="1"/>
  <c r="AM37" i="4" s="1"/>
  <c r="AD36" i="4"/>
  <c r="AI36" i="4" s="1"/>
  <c r="AN36" i="4" s="1"/>
  <c r="AE35" i="4"/>
  <c r="AJ35" i="4" s="1"/>
  <c r="AO35" i="4" s="1"/>
  <c r="T6" i="4"/>
  <c r="T7" i="4"/>
  <c r="T15" i="4"/>
  <c r="T16" i="4"/>
  <c r="T17" i="4"/>
  <c r="T18" i="4"/>
  <c r="T19" i="4"/>
  <c r="T20" i="4"/>
  <c r="T21" i="4"/>
  <c r="T22" i="4"/>
  <c r="T23" i="4"/>
  <c r="T24" i="4"/>
  <c r="T25" i="4"/>
  <c r="T26" i="4"/>
  <c r="T28" i="4"/>
  <c r="T29" i="4"/>
  <c r="T30" i="4"/>
  <c r="T31" i="4"/>
  <c r="T32" i="4"/>
  <c r="T33" i="4"/>
  <c r="T34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8" i="4"/>
  <c r="S29" i="4"/>
  <c r="S30" i="4"/>
  <c r="S31" i="4"/>
  <c r="S32" i="4"/>
  <c r="S33" i="4"/>
  <c r="S34" i="4"/>
  <c r="S6" i="4"/>
  <c r="R7" i="4"/>
  <c r="R8" i="4"/>
  <c r="R15" i="4"/>
  <c r="R16" i="4"/>
  <c r="R17" i="4"/>
  <c r="R18" i="4"/>
  <c r="R19" i="4"/>
  <c r="R20" i="4"/>
  <c r="R21" i="4"/>
  <c r="R22" i="4"/>
  <c r="R23" i="4"/>
  <c r="R24" i="4"/>
  <c r="R25" i="4"/>
  <c r="R26" i="4"/>
  <c r="R28" i="4"/>
  <c r="R29" i="4"/>
  <c r="R30" i="4"/>
  <c r="R31" i="4"/>
  <c r="R32" i="4"/>
  <c r="R33" i="4"/>
  <c r="R34" i="4"/>
  <c r="R6" i="4"/>
  <c r="Q7" i="4"/>
  <c r="Q8" i="4"/>
  <c r="Q16" i="4"/>
  <c r="Q17" i="4"/>
  <c r="Q18" i="4"/>
  <c r="Q19" i="4"/>
  <c r="Q20" i="4"/>
  <c r="Q21" i="4"/>
  <c r="Q22" i="4"/>
  <c r="Q23" i="4"/>
  <c r="Q24" i="4"/>
  <c r="Q25" i="4"/>
  <c r="Q26" i="4"/>
  <c r="Q28" i="4"/>
  <c r="Q29" i="4"/>
  <c r="Q30" i="4"/>
  <c r="Q31" i="4"/>
  <c r="Q32" i="4"/>
  <c r="Q33" i="4"/>
  <c r="Q34" i="4"/>
  <c r="Q6" i="4"/>
  <c r="V6" i="4" s="1"/>
  <c r="U7" i="4"/>
  <c r="U8" i="4"/>
  <c r="AE8" i="4" s="1"/>
  <c r="U9" i="4"/>
  <c r="Z9" i="4" s="1"/>
  <c r="U10" i="4"/>
  <c r="Z10" i="4" s="1"/>
  <c r="U11" i="4"/>
  <c r="U12" i="4"/>
  <c r="AE12" i="4" s="1"/>
  <c r="U13" i="4"/>
  <c r="Z13" i="4" s="1"/>
  <c r="U14" i="4"/>
  <c r="AE14" i="4" s="1"/>
  <c r="U15" i="4"/>
  <c r="U16" i="4"/>
  <c r="AE16" i="4" s="1"/>
  <c r="U17" i="4"/>
  <c r="AE17" i="4" s="1"/>
  <c r="U18" i="4"/>
  <c r="Z18" i="4" s="1"/>
  <c r="U19" i="4"/>
  <c r="U20" i="4"/>
  <c r="AE20" i="4" s="1"/>
  <c r="U21" i="4"/>
  <c r="Z21" i="4" s="1"/>
  <c r="U22" i="4"/>
  <c r="AE22" i="4" s="1"/>
  <c r="U23" i="4"/>
  <c r="U24" i="4"/>
  <c r="AE24" i="4" s="1"/>
  <c r="U25" i="4"/>
  <c r="AE25" i="4" s="1"/>
  <c r="U26" i="4"/>
  <c r="Z26" i="4" s="1"/>
  <c r="U28" i="4"/>
  <c r="U29" i="4"/>
  <c r="AE29" i="4" s="1"/>
  <c r="U30" i="4"/>
  <c r="AE30" i="4" s="1"/>
  <c r="U31" i="4"/>
  <c r="AE31" i="4" s="1"/>
  <c r="U32" i="4"/>
  <c r="U33" i="4"/>
  <c r="AE33" i="4" s="1"/>
  <c r="U34" i="4"/>
  <c r="Z34" i="4" s="1"/>
  <c r="U6" i="4"/>
  <c r="Z6" i="4" s="1"/>
  <c r="AE6" i="4" l="1"/>
  <c r="AE13" i="4"/>
  <c r="Z25" i="4"/>
  <c r="Z14" i="4"/>
  <c r="AE34" i="4"/>
  <c r="AE21" i="4"/>
  <c r="AE10" i="4"/>
  <c r="Z30" i="4"/>
  <c r="Z17" i="4"/>
  <c r="Z22" i="4"/>
  <c r="AE18" i="4"/>
  <c r="AE9" i="4"/>
  <c r="Z31" i="4"/>
  <c r="AE26" i="4"/>
  <c r="AE32" i="4"/>
  <c r="Z32" i="4"/>
  <c r="AE28" i="4"/>
  <c r="Z28" i="4"/>
  <c r="AE23" i="4"/>
  <c r="Z23" i="4"/>
  <c r="AE19" i="4"/>
  <c r="Z19" i="4"/>
  <c r="AE15" i="4"/>
  <c r="Z15" i="4"/>
  <c r="AE11" i="4"/>
  <c r="Z11" i="4"/>
  <c r="AE7" i="4"/>
  <c r="Z7" i="4"/>
  <c r="Z33" i="4"/>
  <c r="Z29" i="4"/>
  <c r="Z24" i="4"/>
  <c r="Z20" i="4"/>
  <c r="Z16" i="4"/>
  <c r="Z12" i="4"/>
  <c r="Z8" i="4"/>
  <c r="D12" i="4"/>
  <c r="E13" i="4"/>
  <c r="D13" i="4" s="1"/>
  <c r="E14" i="4"/>
  <c r="D14" i="4" s="1"/>
  <c r="E15" i="4"/>
  <c r="D15" i="4" s="1"/>
  <c r="E16" i="4"/>
  <c r="D16" i="4" s="1"/>
  <c r="AD11" i="4" l="1"/>
  <c r="AD12" i="4"/>
  <c r="AD13" i="4"/>
  <c r="AD14" i="4"/>
  <c r="AD15" i="4"/>
  <c r="AD16" i="4"/>
  <c r="AD17" i="4"/>
  <c r="AD18" i="4"/>
  <c r="AD19" i="4"/>
  <c r="AD21" i="4"/>
  <c r="Y11" i="4"/>
  <c r="Y12" i="4"/>
  <c r="Y13" i="4"/>
  <c r="Y14" i="4"/>
  <c r="Y15" i="4"/>
  <c r="Y16" i="4"/>
  <c r="Y17" i="4"/>
  <c r="Y18" i="4"/>
  <c r="Y19" i="4"/>
  <c r="Y21" i="4"/>
  <c r="AD7" i="4"/>
  <c r="T8" i="4"/>
  <c r="Y9" i="4"/>
  <c r="AA7" i="4"/>
  <c r="AA9" i="4"/>
  <c r="V11" i="4"/>
  <c r="AA12" i="4"/>
  <c r="V13" i="4"/>
  <c r="AA14" i="4"/>
  <c r="AA15" i="4"/>
  <c r="V16" i="4"/>
  <c r="V17" i="4"/>
  <c r="V18" i="4"/>
  <c r="AA19" i="4"/>
  <c r="AA20" i="4"/>
  <c r="AA21" i="4"/>
  <c r="AA22" i="4"/>
  <c r="V23" i="4"/>
  <c r="AA24" i="4"/>
  <c r="AA25" i="4"/>
  <c r="AA26" i="4"/>
  <c r="AA29" i="4"/>
  <c r="AA31" i="4"/>
  <c r="AA33" i="4"/>
  <c r="AC6" i="4"/>
  <c r="AA6" i="4"/>
  <c r="V9" i="4" l="1"/>
  <c r="AA32" i="4"/>
  <c r="V32" i="4"/>
  <c r="AA28" i="4"/>
  <c r="V28" i="4"/>
  <c r="AB31" i="4"/>
  <c r="W31" i="4"/>
  <c r="AB26" i="4"/>
  <c r="W26" i="4"/>
  <c r="AB22" i="4"/>
  <c r="W22" i="4"/>
  <c r="AB18" i="4"/>
  <c r="W18" i="4"/>
  <c r="AB14" i="4"/>
  <c r="W14" i="4"/>
  <c r="AB10" i="4"/>
  <c r="W10" i="4"/>
  <c r="AC34" i="4"/>
  <c r="X34" i="4"/>
  <c r="AC30" i="4"/>
  <c r="X30" i="4"/>
  <c r="AC25" i="4"/>
  <c r="X25" i="4"/>
  <c r="AC21" i="4"/>
  <c r="X21" i="4"/>
  <c r="AC17" i="4"/>
  <c r="X17" i="4"/>
  <c r="AC13" i="4"/>
  <c r="X13" i="4"/>
  <c r="AC9" i="4"/>
  <c r="X9" i="4"/>
  <c r="AD33" i="4"/>
  <c r="Y33" i="4"/>
  <c r="AD29" i="4"/>
  <c r="Y29" i="4"/>
  <c r="AD24" i="4"/>
  <c r="Y24" i="4"/>
  <c r="AD10" i="4"/>
  <c r="Y10" i="4"/>
  <c r="V26" i="4"/>
  <c r="W28" i="4"/>
  <c r="AB28" i="4"/>
  <c r="AB6" i="4"/>
  <c r="W6" i="4"/>
  <c r="AA8" i="4"/>
  <c r="V8" i="4"/>
  <c r="W32" i="4"/>
  <c r="AB32" i="4"/>
  <c r="W23" i="4"/>
  <c r="AB23" i="4"/>
  <c r="W19" i="4"/>
  <c r="AB19" i="4"/>
  <c r="W15" i="4"/>
  <c r="AB15" i="4"/>
  <c r="W11" i="4"/>
  <c r="AB11" i="4"/>
  <c r="W7" i="4"/>
  <c r="AB7" i="4"/>
  <c r="X31" i="4"/>
  <c r="AC31" i="4"/>
  <c r="X26" i="4"/>
  <c r="AC26" i="4"/>
  <c r="X22" i="4"/>
  <c r="AC22" i="4"/>
  <c r="X14" i="4"/>
  <c r="AC14" i="4"/>
  <c r="X10" i="4"/>
  <c r="AC10" i="4"/>
  <c r="Y34" i="4"/>
  <c r="AD34" i="4"/>
  <c r="Y30" i="4"/>
  <c r="AD30" i="4"/>
  <c r="Y25" i="4"/>
  <c r="AD25" i="4"/>
  <c r="AD20" i="4"/>
  <c r="Y20" i="4"/>
  <c r="V29" i="4"/>
  <c r="X6" i="4"/>
  <c r="AD6" i="4"/>
  <c r="Y6" i="4"/>
  <c r="AA10" i="4"/>
  <c r="V10" i="4"/>
  <c r="AB34" i="4"/>
  <c r="W34" i="4"/>
  <c r="AB30" i="4"/>
  <c r="W30" i="4"/>
  <c r="AB25" i="4"/>
  <c r="W25" i="4"/>
  <c r="AB21" i="4"/>
  <c r="W21" i="4"/>
  <c r="AB17" i="4"/>
  <c r="W17" i="4"/>
  <c r="AB13" i="4"/>
  <c r="W13" i="4"/>
  <c r="AB9" i="4"/>
  <c r="W9" i="4"/>
  <c r="AC33" i="4"/>
  <c r="X33" i="4"/>
  <c r="AC29" i="4"/>
  <c r="X29" i="4"/>
  <c r="AC24" i="4"/>
  <c r="X24" i="4"/>
  <c r="AC20" i="4"/>
  <c r="X20" i="4"/>
  <c r="AC16" i="4"/>
  <c r="X16" i="4"/>
  <c r="AC12" i="4"/>
  <c r="X12" i="4"/>
  <c r="AC8" i="4"/>
  <c r="X8" i="4"/>
  <c r="AD32" i="4"/>
  <c r="Y32" i="4"/>
  <c r="AD28" i="4"/>
  <c r="Y28" i="4"/>
  <c r="AD23" i="4"/>
  <c r="Y23" i="4"/>
  <c r="V33" i="4"/>
  <c r="AA34" i="4"/>
  <c r="V34" i="4"/>
  <c r="AA30" i="4"/>
  <c r="V30" i="4"/>
  <c r="AB33" i="4"/>
  <c r="W33" i="4"/>
  <c r="AB29" i="4"/>
  <c r="W29" i="4"/>
  <c r="AB24" i="4"/>
  <c r="W24" i="4"/>
  <c r="AB20" i="4"/>
  <c r="W20" i="4"/>
  <c r="AB16" i="4"/>
  <c r="W16" i="4"/>
  <c r="AB12" i="4"/>
  <c r="W12" i="4"/>
  <c r="AB8" i="4"/>
  <c r="W8" i="4"/>
  <c r="AC32" i="4"/>
  <c r="X32" i="4"/>
  <c r="AC28" i="4"/>
  <c r="X28" i="4"/>
  <c r="AC23" i="4"/>
  <c r="X23" i="4"/>
  <c r="AC19" i="4"/>
  <c r="X19" i="4"/>
  <c r="AC15" i="4"/>
  <c r="X15" i="4"/>
  <c r="AC11" i="4"/>
  <c r="X11" i="4"/>
  <c r="AC7" i="4"/>
  <c r="X7" i="4"/>
  <c r="AD31" i="4"/>
  <c r="Y31" i="4"/>
  <c r="AD26" i="4"/>
  <c r="Y26" i="4"/>
  <c r="AD22" i="4"/>
  <c r="Y22" i="4"/>
  <c r="AD8" i="4"/>
  <c r="Y8" i="4"/>
  <c r="V31" i="4"/>
  <c r="V7" i="4"/>
  <c r="X18" i="4"/>
  <c r="AC18" i="4"/>
  <c r="AD9" i="4"/>
  <c r="Y7" i="4"/>
  <c r="V14" i="4"/>
  <c r="AA17" i="4"/>
  <c r="AA18" i="4"/>
  <c r="V19" i="4"/>
  <c r="V24" i="4"/>
  <c r="V25" i="4"/>
  <c r="AA23" i="4"/>
  <c r="V22" i="4"/>
  <c r="V21" i="4"/>
  <c r="V20" i="4"/>
  <c r="AA16" i="4"/>
  <c r="V15" i="4"/>
  <c r="AA13" i="4"/>
  <c r="V12" i="4"/>
  <c r="AA11" i="4"/>
  <c r="K7" i="4" l="1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8" i="4"/>
  <c r="K29" i="4"/>
  <c r="K30" i="4"/>
  <c r="K31" i="4"/>
  <c r="K32" i="4"/>
  <c r="K33" i="4"/>
  <c r="K34" i="4"/>
  <c r="J7" i="4"/>
  <c r="J8" i="4"/>
  <c r="J9" i="4"/>
  <c r="J10" i="4"/>
  <c r="J11" i="4"/>
  <c r="AJ11" i="4" s="1"/>
  <c r="AO11" i="4" s="1"/>
  <c r="J12" i="4"/>
  <c r="J13" i="4"/>
  <c r="J14" i="4"/>
  <c r="J15" i="4"/>
  <c r="AJ15" i="4" s="1"/>
  <c r="AO15" i="4" s="1"/>
  <c r="J16" i="4"/>
  <c r="J17" i="4"/>
  <c r="J18" i="4"/>
  <c r="J19" i="4"/>
  <c r="J20" i="4"/>
  <c r="J21" i="4"/>
  <c r="J22" i="4"/>
  <c r="J23" i="4"/>
  <c r="AJ23" i="4" s="1"/>
  <c r="AO23" i="4" s="1"/>
  <c r="J24" i="4"/>
  <c r="J25" i="4"/>
  <c r="J26" i="4"/>
  <c r="J28" i="4"/>
  <c r="J29" i="4"/>
  <c r="J30" i="4"/>
  <c r="J31" i="4"/>
  <c r="J32" i="4"/>
  <c r="J33" i="4"/>
  <c r="J34" i="4"/>
  <c r="J6" i="4"/>
  <c r="K6" i="4"/>
  <c r="E18" i="4"/>
  <c r="D18" i="4" s="1"/>
  <c r="E19" i="4"/>
  <c r="D19" i="4" s="1"/>
  <c r="E20" i="4"/>
  <c r="D20" i="4" s="1"/>
  <c r="E21" i="4"/>
  <c r="D21" i="4" s="1"/>
  <c r="E22" i="4"/>
  <c r="D22" i="4" s="1"/>
  <c r="E23" i="4"/>
  <c r="D23" i="4" s="1"/>
  <c r="E24" i="4"/>
  <c r="D24" i="4" s="1"/>
  <c r="E25" i="4"/>
  <c r="D25" i="4" s="1"/>
  <c r="E26" i="4"/>
  <c r="D26" i="4" s="1"/>
  <c r="D28" i="4"/>
  <c r="D29" i="4"/>
  <c r="D30" i="4"/>
  <c r="D31" i="4"/>
  <c r="D32" i="4"/>
  <c r="D33" i="4"/>
  <c r="D34" i="4"/>
  <c r="E17" i="4"/>
  <c r="D17" i="4" s="1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16" i="1"/>
  <c r="AJ19" i="4" l="1"/>
  <c r="AO19" i="4" s="1"/>
  <c r="AJ7" i="4"/>
  <c r="AO7" i="4" s="1"/>
  <c r="AJ33" i="4"/>
  <c r="AO33" i="4" s="1"/>
  <c r="AJ29" i="4"/>
  <c r="AO29" i="4" s="1"/>
  <c r="AJ24" i="4"/>
  <c r="AO24" i="4" s="1"/>
  <c r="AJ20" i="4"/>
  <c r="AO20" i="4" s="1"/>
  <c r="AJ16" i="4"/>
  <c r="AO16" i="4" s="1"/>
  <c r="AH32" i="4"/>
  <c r="AM32" i="4" s="1"/>
  <c r="AJ32" i="4"/>
  <c r="AO32" i="4" s="1"/>
  <c r="AI28" i="4"/>
  <c r="AN28" i="4" s="1"/>
  <c r="AJ28" i="4"/>
  <c r="AO28" i="4" s="1"/>
  <c r="AJ31" i="4"/>
  <c r="AO31" i="4" s="1"/>
  <c r="AJ22" i="4"/>
  <c r="AO22" i="4" s="1"/>
  <c r="AJ14" i="4"/>
  <c r="AO14" i="4" s="1"/>
  <c r="AJ34" i="4"/>
  <c r="AO34" i="4" s="1"/>
  <c r="AJ30" i="4"/>
  <c r="AO30" i="4" s="1"/>
  <c r="AJ25" i="4"/>
  <c r="AO25" i="4" s="1"/>
  <c r="AJ17" i="4"/>
  <c r="AO17" i="4" s="1"/>
  <c r="AJ13" i="4"/>
  <c r="AO13" i="4" s="1"/>
  <c r="AJ9" i="4"/>
  <c r="AO9" i="4" s="1"/>
  <c r="AF6" i="4"/>
  <c r="AK6" i="4" s="1"/>
  <c r="AJ6" i="4"/>
  <c r="AO6" i="4" s="1"/>
  <c r="AJ26" i="4"/>
  <c r="AO26" i="4" s="1"/>
  <c r="AJ18" i="4"/>
  <c r="AO18" i="4" s="1"/>
  <c r="AJ10" i="4"/>
  <c r="AO10" i="4" s="1"/>
  <c r="AI12" i="4"/>
  <c r="AN12" i="4" s="1"/>
  <c r="AJ12" i="4"/>
  <c r="AO12" i="4" s="1"/>
  <c r="AH8" i="4"/>
  <c r="AM8" i="4" s="1"/>
  <c r="AJ8" i="4"/>
  <c r="AO8" i="4" s="1"/>
  <c r="AJ21" i="4"/>
  <c r="AO21" i="4" s="1"/>
  <c r="AF7" i="4"/>
  <c r="AK7" i="4" s="1"/>
  <c r="AH34" i="4"/>
  <c r="AM34" i="4" s="1"/>
  <c r="AI33" i="4"/>
  <c r="AN33" i="4" s="1"/>
  <c r="AH31" i="4"/>
  <c r="AM31" i="4" s="1"/>
  <c r="AF30" i="4"/>
  <c r="AK30" i="4" s="1"/>
  <c r="AI29" i="4"/>
  <c r="AN29" i="4" s="1"/>
  <c r="AI26" i="4"/>
  <c r="AN26" i="4" s="1"/>
  <c r="AI25" i="4"/>
  <c r="AN25" i="4" s="1"/>
  <c r="AG24" i="4"/>
  <c r="AL24" i="4" s="1"/>
  <c r="AI23" i="4"/>
  <c r="AN23" i="4" s="1"/>
  <c r="AF22" i="4"/>
  <c r="AK22" i="4" s="1"/>
  <c r="AF21" i="4"/>
  <c r="AK21" i="4" s="1"/>
  <c r="AF20" i="4"/>
  <c r="AK20" i="4" s="1"/>
  <c r="AI18" i="4"/>
  <c r="AN18" i="4" s="1"/>
  <c r="AH17" i="4"/>
  <c r="AM17" i="4" s="1"/>
  <c r="AI16" i="4"/>
  <c r="AN16" i="4" s="1"/>
  <c r="AI14" i="4"/>
  <c r="AN14" i="4" s="1"/>
  <c r="AG10" i="4"/>
  <c r="AL10" i="4" s="1"/>
  <c r="AG9" i="4"/>
  <c r="AL9" i="4" s="1"/>
  <c r="AH7" i="4"/>
  <c r="AM7" i="4" s="1"/>
  <c r="AI19" i="4"/>
  <c r="AN19" i="4" s="1"/>
  <c r="AI15" i="4"/>
  <c r="AN15" i="4" s="1"/>
  <c r="AI11" i="4"/>
  <c r="AN11" i="4" s="1"/>
  <c r="AG28" i="4"/>
  <c r="AL28" i="4" s="1"/>
  <c r="AH26" i="4"/>
  <c r="AM26" i="4" s="1"/>
  <c r="AF29" i="4"/>
  <c r="AK29" i="4" s="1"/>
  <c r="AG16" i="4"/>
  <c r="AL16" i="4" s="1"/>
  <c r="AH11" i="4"/>
  <c r="AM11" i="4" s="1"/>
  <c r="AF17" i="4"/>
  <c r="AK17" i="4" s="1"/>
  <c r="AG31" i="4"/>
  <c r="AL31" i="4" s="1"/>
  <c r="AH25" i="4"/>
  <c r="AM25" i="4" s="1"/>
  <c r="AI10" i="4"/>
  <c r="AN10" i="4" s="1"/>
  <c r="AG30" i="4"/>
  <c r="AL30" i="4" s="1"/>
  <c r="AH24" i="4"/>
  <c r="AM24" i="4" s="1"/>
  <c r="AF33" i="4"/>
  <c r="AK33" i="4" s="1"/>
  <c r="AF23" i="4"/>
  <c r="AK23" i="4" s="1"/>
  <c r="AG32" i="4"/>
  <c r="AL32" i="4" s="1"/>
  <c r="AH22" i="4"/>
  <c r="AM22" i="4" s="1"/>
  <c r="AG29" i="4"/>
  <c r="AL29" i="4" s="1"/>
  <c r="AH23" i="4"/>
  <c r="AM23" i="4" s="1"/>
  <c r="AI8" i="4"/>
  <c r="AN8" i="4" s="1"/>
  <c r="AF28" i="4"/>
  <c r="AK28" i="4" s="1"/>
  <c r="AH30" i="4"/>
  <c r="AM30" i="4" s="1"/>
  <c r="AI24" i="4"/>
  <c r="AN24" i="4" s="1"/>
  <c r="AI6" i="4"/>
  <c r="AN6" i="4" s="1"/>
  <c r="AI32" i="4"/>
  <c r="AN32" i="4" s="1"/>
  <c r="AF24" i="4"/>
  <c r="AK24" i="4" s="1"/>
  <c r="AG23" i="4"/>
  <c r="AL23" i="4" s="1"/>
  <c r="AH14" i="4"/>
  <c r="AM14" i="4" s="1"/>
  <c r="AF34" i="4"/>
  <c r="AK34" i="4" s="1"/>
  <c r="AG8" i="4"/>
  <c r="AL8" i="4" s="1"/>
  <c r="AI31" i="4"/>
  <c r="AN31" i="4" s="1"/>
  <c r="AF25" i="4"/>
  <c r="AK25" i="4" s="1"/>
  <c r="AG22" i="4"/>
  <c r="AL22" i="4" s="1"/>
  <c r="AF8" i="4"/>
  <c r="AK8" i="4" s="1"/>
  <c r="AG21" i="4"/>
  <c r="AL21" i="4" s="1"/>
  <c r="AH16" i="4"/>
  <c r="AM16" i="4" s="1"/>
  <c r="AH18" i="4"/>
  <c r="AM18" i="4" s="1"/>
  <c r="AF16" i="4"/>
  <c r="AK16" i="4" s="1"/>
  <c r="AG19" i="4"/>
  <c r="AL19" i="4" s="1"/>
  <c r="AH10" i="4"/>
  <c r="AM10" i="4" s="1"/>
  <c r="AG20" i="4"/>
  <c r="AL20" i="4" s="1"/>
  <c r="AH15" i="4"/>
  <c r="AM15" i="4" s="1"/>
  <c r="AF19" i="4"/>
  <c r="AK19" i="4" s="1"/>
  <c r="AG26" i="4"/>
  <c r="AL26" i="4" s="1"/>
  <c r="AH21" i="4"/>
  <c r="AM21" i="4" s="1"/>
  <c r="AF26" i="4"/>
  <c r="AK26" i="4" s="1"/>
  <c r="AG34" i="4"/>
  <c r="AL34" i="4" s="1"/>
  <c r="AH29" i="4"/>
  <c r="AM29" i="4" s="1"/>
  <c r="AI21" i="4"/>
  <c r="AN21" i="4" s="1"/>
  <c r="AI17" i="4"/>
  <c r="AN17" i="4" s="1"/>
  <c r="AI13" i="4"/>
  <c r="AN13" i="4" s="1"/>
  <c r="AI9" i="4"/>
  <c r="AN9" i="4" s="1"/>
  <c r="AF9" i="4"/>
  <c r="AK9" i="4" s="1"/>
  <c r="AG15" i="4"/>
  <c r="AL15" i="4" s="1"/>
  <c r="AI34" i="4"/>
  <c r="AN34" i="4" s="1"/>
  <c r="AG33" i="4"/>
  <c r="AL33" i="4" s="1"/>
  <c r="AH28" i="4"/>
  <c r="AM28" i="4" s="1"/>
  <c r="AI22" i="4"/>
  <c r="AN22" i="4" s="1"/>
  <c r="AF12" i="4"/>
  <c r="AK12" i="4" s="1"/>
  <c r="AG14" i="4"/>
  <c r="AL14" i="4" s="1"/>
  <c r="AH9" i="4"/>
  <c r="AM9" i="4" s="1"/>
  <c r="AH6" i="4"/>
  <c r="AM6" i="4" s="1"/>
  <c r="AG13" i="4"/>
  <c r="AL13" i="4" s="1"/>
  <c r="AI7" i="4"/>
  <c r="AN7" i="4" s="1"/>
  <c r="AX9" i="4" s="1"/>
  <c r="AF11" i="4"/>
  <c r="AK11" i="4" s="1"/>
  <c r="AP27" i="4" s="1"/>
  <c r="AG11" i="4"/>
  <c r="AL11" i="4" s="1"/>
  <c r="AI30" i="4"/>
  <c r="AN30" i="4" s="1"/>
  <c r="AG12" i="4"/>
  <c r="AL12" i="4" s="1"/>
  <c r="AG18" i="4"/>
  <c r="AL18" i="4" s="1"/>
  <c r="AH13" i="4"/>
  <c r="AM13" i="4" s="1"/>
  <c r="AG6" i="4"/>
  <c r="AL6" i="4" s="1"/>
  <c r="AG25" i="4"/>
  <c r="AL25" i="4" s="1"/>
  <c r="AH20" i="4"/>
  <c r="AM20" i="4" s="1"/>
  <c r="AF31" i="4"/>
  <c r="AK31" i="4" s="1"/>
  <c r="AF13" i="4"/>
  <c r="AK13" i="4" s="1"/>
  <c r="AG7" i="4"/>
  <c r="AL7" i="4" s="1"/>
  <c r="AH19" i="4"/>
  <c r="AM19" i="4" s="1"/>
  <c r="AF32" i="4"/>
  <c r="AK32" i="4" s="1"/>
  <c r="AF10" i="4"/>
  <c r="AK10" i="4" s="1"/>
  <c r="AH33" i="4"/>
  <c r="AM33" i="4" s="1"/>
  <c r="AF18" i="4"/>
  <c r="AK18" i="4" s="1"/>
  <c r="AF15" i="4"/>
  <c r="AK15" i="4" s="1"/>
  <c r="AI20" i="4"/>
  <c r="AN20" i="4" s="1"/>
  <c r="AG17" i="4"/>
  <c r="AL17" i="4" s="1"/>
  <c r="AH12" i="4"/>
  <c r="AM12" i="4" s="1"/>
  <c r="AF14" i="4"/>
  <c r="AK14" i="4" s="1"/>
  <c r="AQ27" i="4" l="1"/>
  <c r="AV27" i="4" s="1"/>
  <c r="AR27" i="4"/>
  <c r="AW27" i="4" s="1"/>
  <c r="AU27" i="4"/>
  <c r="AT27" i="4"/>
  <c r="AY27" i="4" s="1"/>
  <c r="AS27" i="4"/>
  <c r="AX27" i="4" s="1"/>
  <c r="AQ18" i="4"/>
  <c r="AS18" i="4"/>
  <c r="AT18" i="4"/>
  <c r="AR18" i="4"/>
  <c r="AP37" i="4"/>
  <c r="AU37" i="4" s="1"/>
  <c r="AP36" i="4"/>
  <c r="AP35" i="4"/>
  <c r="AT37" i="4"/>
  <c r="AT36" i="4"/>
  <c r="AT35" i="4"/>
  <c r="AS35" i="4"/>
  <c r="AS36" i="4"/>
  <c r="AS37" i="4"/>
  <c r="AX37" i="4" s="1"/>
  <c r="AT13" i="4"/>
  <c r="AT16" i="4"/>
  <c r="AT17" i="4"/>
  <c r="AT14" i="4"/>
  <c r="AT15" i="4"/>
  <c r="AR36" i="4"/>
  <c r="AR35" i="4"/>
  <c r="AR37" i="4"/>
  <c r="AQ36" i="4"/>
  <c r="AQ35" i="4"/>
  <c r="AQ37" i="4"/>
  <c r="AV37" i="4" s="1"/>
  <c r="AT33" i="4"/>
  <c r="AT19" i="4"/>
  <c r="AT20" i="4"/>
  <c r="AT12" i="4"/>
  <c r="AT21" i="4"/>
  <c r="AY21" i="4" s="1"/>
  <c r="AT29" i="4"/>
  <c r="AT26" i="4"/>
  <c r="AT23" i="4"/>
  <c r="AT25" i="4"/>
  <c r="AT22" i="4"/>
  <c r="AT28" i="4"/>
  <c r="AT24" i="4"/>
  <c r="AR16" i="4"/>
  <c r="AR33" i="4"/>
  <c r="AR29" i="4"/>
  <c r="AR26" i="4"/>
  <c r="AR23" i="4"/>
  <c r="AR13" i="4"/>
  <c r="AW9" i="4"/>
  <c r="AR15" i="4"/>
  <c r="AR30" i="4"/>
  <c r="AR25" i="4"/>
  <c r="AR17" i="4"/>
  <c r="AY9" i="4"/>
  <c r="AT30" i="4"/>
  <c r="AT31" i="4"/>
  <c r="AY31" i="4" s="1"/>
  <c r="AT32" i="4"/>
  <c r="AR14" i="4"/>
  <c r="AR31" i="4"/>
  <c r="AW31" i="4" s="1"/>
  <c r="AR12" i="4"/>
  <c r="AR19" i="4"/>
  <c r="AR20" i="4"/>
  <c r="AR28" i="4"/>
  <c r="AR21" i="4"/>
  <c r="AW21" i="4" s="1"/>
  <c r="AR22" i="4"/>
  <c r="AR24" i="4"/>
  <c r="AR34" i="4"/>
  <c r="AT34" i="4"/>
  <c r="AR32" i="4"/>
  <c r="AV9" i="4"/>
  <c r="AU9" i="4"/>
  <c r="AS15" i="4"/>
  <c r="AS19" i="4"/>
  <c r="AS23" i="4"/>
  <c r="AS28" i="4"/>
  <c r="AS32" i="4"/>
  <c r="AS13" i="4"/>
  <c r="AS26" i="4"/>
  <c r="AS16" i="4"/>
  <c r="AS20" i="4"/>
  <c r="AS24" i="4"/>
  <c r="AS29" i="4"/>
  <c r="AS33" i="4"/>
  <c r="AS14" i="4"/>
  <c r="AS22" i="4"/>
  <c r="AS12" i="4"/>
  <c r="AS17" i="4"/>
  <c r="AS21" i="4"/>
  <c r="AX21" i="4" s="1"/>
  <c r="AS25" i="4"/>
  <c r="AS30" i="4"/>
  <c r="AS34" i="4"/>
  <c r="AX34" i="4" s="1"/>
  <c r="AS31" i="4"/>
  <c r="AX31" i="4" s="1"/>
  <c r="AQ15" i="4"/>
  <c r="AQ19" i="4"/>
  <c r="AQ23" i="4"/>
  <c r="AQ28" i="4"/>
  <c r="AQ32" i="4"/>
  <c r="AQ13" i="4"/>
  <c r="AQ26" i="4"/>
  <c r="AQ16" i="4"/>
  <c r="AQ20" i="4"/>
  <c r="AQ24" i="4"/>
  <c r="AQ29" i="4"/>
  <c r="AQ33" i="4"/>
  <c r="AQ14" i="4"/>
  <c r="AQ31" i="4"/>
  <c r="AV31" i="4" s="1"/>
  <c r="AQ17" i="4"/>
  <c r="AQ21" i="4"/>
  <c r="AV21" i="4" s="1"/>
  <c r="AQ25" i="4"/>
  <c r="AQ30" i="4"/>
  <c r="AQ34" i="4"/>
  <c r="AV34" i="4" s="1"/>
  <c r="AQ22" i="4"/>
  <c r="AQ12" i="4"/>
  <c r="AP14" i="4"/>
  <c r="AP12" i="4"/>
  <c r="AP13" i="4"/>
  <c r="AP15" i="4"/>
  <c r="AP32" i="4"/>
  <c r="AP30" i="4"/>
  <c r="AP31" i="4"/>
  <c r="AU31" i="4" s="1"/>
  <c r="AP26" i="4"/>
  <c r="AP16" i="4"/>
  <c r="AP23" i="4"/>
  <c r="AP20" i="4"/>
  <c r="AP18" i="4"/>
  <c r="AP34" i="4"/>
  <c r="AU34" i="4" s="1"/>
  <c r="AP24" i="4"/>
  <c r="AP33" i="4"/>
  <c r="AP21" i="4"/>
  <c r="AU21" i="4" s="1"/>
  <c r="AP22" i="4"/>
  <c r="AP25" i="4"/>
  <c r="AP28" i="4"/>
  <c r="AP29" i="4"/>
  <c r="AP19" i="4"/>
  <c r="AP17" i="4"/>
  <c r="BC27" i="4" l="1"/>
  <c r="AX29" i="4"/>
  <c r="AX30" i="4"/>
  <c r="AX28" i="4"/>
  <c r="AV23" i="4"/>
  <c r="AV22" i="4"/>
  <c r="AV24" i="4"/>
  <c r="AV25" i="4"/>
  <c r="AV26" i="4"/>
  <c r="AX25" i="4"/>
  <c r="AX26" i="4"/>
  <c r="AX23" i="4"/>
  <c r="AX22" i="4"/>
  <c r="AX24" i="4"/>
  <c r="AW24" i="4"/>
  <c r="AW25" i="4"/>
  <c r="AW26" i="4"/>
  <c r="AW23" i="4"/>
  <c r="AW22" i="4"/>
  <c r="AZ27" i="4"/>
  <c r="AU28" i="4"/>
  <c r="AU29" i="4"/>
  <c r="AU30" i="4"/>
  <c r="AX17" i="4"/>
  <c r="AX19" i="4"/>
  <c r="AY15" i="4"/>
  <c r="AY19" i="4"/>
  <c r="AY16" i="4"/>
  <c r="AY20" i="4"/>
  <c r="AY13" i="4"/>
  <c r="AY17" i="4"/>
  <c r="AY12" i="4"/>
  <c r="AY14" i="4"/>
  <c r="AY18" i="4"/>
  <c r="AW16" i="4"/>
  <c r="AW20" i="4"/>
  <c r="AW13" i="4"/>
  <c r="AW17" i="4"/>
  <c r="AW12" i="4"/>
  <c r="AW14" i="4"/>
  <c r="AW18" i="4"/>
  <c r="AW15" i="4"/>
  <c r="AW19" i="4"/>
  <c r="AY26" i="4"/>
  <c r="AY23" i="4"/>
  <c r="AY22" i="4"/>
  <c r="AY24" i="4"/>
  <c r="AY25" i="4"/>
  <c r="BB27" i="4"/>
  <c r="AW29" i="4"/>
  <c r="AW30" i="4"/>
  <c r="AW28" i="4"/>
  <c r="AX13" i="4"/>
  <c r="AX15" i="4"/>
  <c r="BA27" i="4"/>
  <c r="AV30" i="4"/>
  <c r="AV28" i="4"/>
  <c r="AV29" i="4"/>
  <c r="AX20" i="4"/>
  <c r="AX18" i="4"/>
  <c r="AV13" i="4"/>
  <c r="AV17" i="4"/>
  <c r="AV12" i="4"/>
  <c r="AV14" i="4"/>
  <c r="AV18" i="4"/>
  <c r="AV15" i="4"/>
  <c r="AV19" i="4"/>
  <c r="AV16" i="4"/>
  <c r="BA16" i="4" s="1"/>
  <c r="AV20" i="4"/>
  <c r="AU26" i="4"/>
  <c r="AU23" i="4"/>
  <c r="AU22" i="4"/>
  <c r="AU24" i="4"/>
  <c r="AU25" i="4"/>
  <c r="BD27" i="4"/>
  <c r="AY28" i="4"/>
  <c r="AY29" i="4"/>
  <c r="AY30" i="4"/>
  <c r="AX12" i="4"/>
  <c r="BC12" i="4" s="1"/>
  <c r="AX16" i="4"/>
  <c r="AX14" i="4"/>
  <c r="AU32" i="4"/>
  <c r="AU33" i="4"/>
  <c r="AX33" i="4"/>
  <c r="AX32" i="4"/>
  <c r="AV32" i="4"/>
  <c r="BA32" i="4" s="1"/>
  <c r="AV33" i="4"/>
  <c r="BA33" i="4" s="1"/>
  <c r="BA25" i="4"/>
  <c r="BA24" i="4"/>
  <c r="BA29" i="4"/>
  <c r="BA26" i="4"/>
  <c r="BD30" i="4"/>
  <c r="BD19" i="4"/>
  <c r="BD18" i="4"/>
  <c r="BB17" i="4"/>
  <c r="BA23" i="4"/>
  <c r="AW34" i="4"/>
  <c r="BB34" i="4" s="1"/>
  <c r="AW37" i="4"/>
  <c r="BB37" i="4" s="1"/>
  <c r="BA28" i="4"/>
  <c r="BA31" i="4"/>
  <c r="AY37" i="4"/>
  <c r="BD37" i="4" s="1"/>
  <c r="AY34" i="4"/>
  <c r="AY32" i="4" s="1"/>
  <c r="AX36" i="4"/>
  <c r="BC36" i="4" s="1"/>
  <c r="BA37" i="4"/>
  <c r="BA30" i="4"/>
  <c r="BA34" i="4"/>
  <c r="AY33" i="4" l="1"/>
  <c r="AW33" i="4"/>
  <c r="BB33" i="4" s="1"/>
  <c r="AW32" i="4"/>
  <c r="BD21" i="4"/>
  <c r="AW36" i="4"/>
  <c r="BB36" i="4" s="1"/>
  <c r="BD20" i="4"/>
  <c r="BD23" i="4"/>
  <c r="BB15" i="4"/>
  <c r="BB18" i="4"/>
  <c r="BB20" i="4"/>
  <c r="BB24" i="4"/>
  <c r="BB21" i="4"/>
  <c r="BB19" i="4"/>
  <c r="BB22" i="4"/>
  <c r="BB23" i="4"/>
  <c r="BB12" i="4"/>
  <c r="BB13" i="4"/>
  <c r="BB31" i="4"/>
  <c r="BB32" i="4"/>
  <c r="BB29" i="4"/>
  <c r="BB26" i="4"/>
  <c r="BB28" i="4"/>
  <c r="BB14" i="4"/>
  <c r="AW35" i="4"/>
  <c r="BB35" i="4" s="1"/>
  <c r="BB30" i="4"/>
  <c r="BB25" i="4"/>
  <c r="BB16" i="4"/>
  <c r="AY35" i="4"/>
  <c r="BD35" i="4" s="1"/>
  <c r="AY36" i="4"/>
  <c r="BD36" i="4" s="1"/>
  <c r="BD26" i="4"/>
  <c r="BD28" i="4"/>
  <c r="BD29" i="4"/>
  <c r="BD34" i="4"/>
  <c r="BD25" i="4"/>
  <c r="BD22" i="4"/>
  <c r="BD24" i="4"/>
  <c r="BD32" i="4"/>
  <c r="BD33" i="4"/>
  <c r="BC37" i="4"/>
  <c r="AX35" i="4"/>
  <c r="BC35" i="4" s="1"/>
  <c r="AV36" i="4"/>
  <c r="BA36" i="4" s="1"/>
  <c r="AV35" i="4"/>
  <c r="BA35" i="4" s="1"/>
  <c r="BC13" i="4"/>
  <c r="BA15" i="4"/>
  <c r="BC16" i="4"/>
  <c r="BA14" i="4"/>
  <c r="BA13" i="4"/>
  <c r="BA12" i="4"/>
  <c r="BC30" i="4"/>
  <c r="BC15" i="4"/>
  <c r="BA21" i="4"/>
  <c r="BA19" i="4"/>
  <c r="BA17" i="4"/>
  <c r="BA18" i="4"/>
  <c r="BA22" i="4"/>
  <c r="BA20" i="4"/>
  <c r="BC20" i="4"/>
  <c r="BC21" i="4"/>
  <c r="BC19" i="4"/>
  <c r="BC18" i="4"/>
  <c r="BC22" i="4"/>
  <c r="BC17" i="4"/>
  <c r="BC14" i="4"/>
  <c r="BC26" i="4"/>
  <c r="BC33" i="4"/>
  <c r="BC24" i="4"/>
  <c r="BC25" i="4"/>
  <c r="BC28" i="4"/>
  <c r="BC23" i="4"/>
  <c r="BC29" i="4"/>
  <c r="BC34" i="4"/>
  <c r="BC32" i="4"/>
  <c r="BC31" i="4"/>
  <c r="AZ34" i="4" l="1"/>
  <c r="AZ37" i="4" l="1"/>
  <c r="AU36" i="4"/>
  <c r="AZ36" i="4" s="1"/>
  <c r="AU35" i="4"/>
  <c r="AZ35" i="4" s="1"/>
  <c r="BD13" i="4" l="1"/>
  <c r="BD16" i="4"/>
  <c r="BD12" i="4"/>
  <c r="BD17" i="4"/>
  <c r="BD15" i="4"/>
  <c r="BD14" i="4"/>
  <c r="AZ31" i="4"/>
  <c r="AZ33" i="4"/>
  <c r="AZ32" i="4"/>
  <c r="BD31" i="4"/>
  <c r="AZ21" i="4" l="1"/>
  <c r="AU18" i="4"/>
  <c r="AZ18" i="4" s="1"/>
  <c r="AU16" i="4"/>
  <c r="AZ16" i="4" s="1"/>
  <c r="AU13" i="4"/>
  <c r="AZ13" i="4"/>
  <c r="AU17" i="4"/>
  <c r="AZ17" i="4" s="1"/>
  <c r="AU15" i="4"/>
  <c r="AZ15" i="4" s="1"/>
  <c r="AU19" i="4"/>
  <c r="AZ19" i="4" s="1"/>
  <c r="AU14" i="4"/>
  <c r="AZ14" i="4" s="1"/>
  <c r="AU12" i="4"/>
  <c r="AZ12" i="4" s="1"/>
  <c r="AU20" i="4"/>
  <c r="AZ24" i="4" s="1"/>
  <c r="AZ23" i="4"/>
  <c r="AZ20" i="4" l="1"/>
  <c r="AZ22" i="4"/>
  <c r="AZ29" i="4"/>
  <c r="AZ30" i="4"/>
  <c r="AZ25" i="4"/>
  <c r="AZ26" i="4"/>
  <c r="AZ28" i="4"/>
</calcChain>
</file>

<file path=xl/sharedStrings.xml><?xml version="1.0" encoding="utf-8"?>
<sst xmlns="http://schemas.openxmlformats.org/spreadsheetml/2006/main" count="459" uniqueCount="122">
  <si>
    <t>Vial 29.gcd</t>
  </si>
  <si>
    <t>-----</t>
  </si>
  <si>
    <t>Vial 30.gcd</t>
  </si>
  <si>
    <t>Vial 31.gcd</t>
  </si>
  <si>
    <t>Vial 32.gcd</t>
  </si>
  <si>
    <t>Vial 33.gcd</t>
  </si>
  <si>
    <t>Vial 34.gcd</t>
  </si>
  <si>
    <t>Vial 35.gcd</t>
  </si>
  <si>
    <t>Vial 36.gcd</t>
  </si>
  <si>
    <t>Vial 37.gcd</t>
  </si>
  <si>
    <t>Vial 38.gcd</t>
  </si>
  <si>
    <t>Vial 39.gcd</t>
  </si>
  <si>
    <t>Vial 40.gcd</t>
  </si>
  <si>
    <t>Vial 41.gcd</t>
  </si>
  <si>
    <t>Vial 42.gcd</t>
  </si>
  <si>
    <t>Vial 43.gcd</t>
  </si>
  <si>
    <t>Vial 44.gcd</t>
  </si>
  <si>
    <t>Vial 45.gcd</t>
  </si>
  <si>
    <t>Vial 46.gcd</t>
  </si>
  <si>
    <t>Vial 47.gcd</t>
  </si>
  <si>
    <t>Vial 48.gcd</t>
  </si>
  <si>
    <t>Vial 49.gcd</t>
  </si>
  <si>
    <t>Vial 50.gcd</t>
  </si>
  <si>
    <t>Vial 51.gcd</t>
  </si>
  <si>
    <t>Vial 52.gcd</t>
  </si>
  <si>
    <t>Vial 53.gcd</t>
  </si>
  <si>
    <t>Vial 54.gcd</t>
  </si>
  <si>
    <t>Vial 55.gcd</t>
  </si>
  <si>
    <t>Vial 56.gcd</t>
  </si>
  <si>
    <t>Vial 57.gcd</t>
  </si>
  <si>
    <t>Vial 58.gcd</t>
  </si>
  <si>
    <t>Vial 59.gcd</t>
  </si>
  <si>
    <t>Vial 60.gcd</t>
  </si>
  <si>
    <t>Data Filename</t>
  </si>
  <si>
    <t>Area</t>
  </si>
  <si>
    <t>Ethane</t>
  </si>
  <si>
    <t>SF6</t>
  </si>
  <si>
    <t>N2O</t>
  </si>
  <si>
    <t>Helium</t>
  </si>
  <si>
    <t>Description</t>
  </si>
  <si>
    <t>Tracer Sol 1</t>
  </si>
  <si>
    <t>Tracer Sol 2</t>
  </si>
  <si>
    <t>Tracer Sol 3</t>
  </si>
  <si>
    <t>Tracer Sol 4</t>
  </si>
  <si>
    <t>Tracer Sol 5</t>
  </si>
  <si>
    <t>Tracer Sol 6</t>
  </si>
  <si>
    <t>Tracer Sol 7</t>
  </si>
  <si>
    <t>Tracer Sol 8</t>
  </si>
  <si>
    <t>Port 2D</t>
  </si>
  <si>
    <t>Port 1C</t>
  </si>
  <si>
    <t>Port 3B</t>
  </si>
  <si>
    <t>Eff 3 T1</t>
  </si>
  <si>
    <t>Eff 3 T2</t>
  </si>
  <si>
    <t>Eff 3 T3</t>
  </si>
  <si>
    <t>Eff 3 T4</t>
  </si>
  <si>
    <t>Eff 3 T5</t>
  </si>
  <si>
    <t>Eff 3 T6</t>
  </si>
  <si>
    <t>Eff 3 T7</t>
  </si>
  <si>
    <t>Port 2C</t>
  </si>
  <si>
    <t>Eff 3 T8</t>
  </si>
  <si>
    <t>Eff 3 T9</t>
  </si>
  <si>
    <t>Eff 3 T10</t>
  </si>
  <si>
    <t>Eff 3 T11</t>
  </si>
  <si>
    <t>Eff 3 T12</t>
  </si>
  <si>
    <t>Eff 3 T13</t>
  </si>
  <si>
    <t>Eff 3 T14</t>
  </si>
  <si>
    <t>Eff 3 T15</t>
  </si>
  <si>
    <t>Eff 3 T16</t>
  </si>
  <si>
    <t>Eff 3 T17</t>
  </si>
  <si>
    <t>Time</t>
  </si>
  <si>
    <t>Timepoint</t>
  </si>
  <si>
    <t>Timepoint (min)</t>
  </si>
  <si>
    <t>Peak Areas</t>
  </si>
  <si>
    <t>Empty Vial (g)</t>
  </si>
  <si>
    <t>Vial &amp; Sample (g)</t>
  </si>
  <si>
    <t>Vial &amp; Displaced Sample (g)</t>
  </si>
  <si>
    <t>Headspace Volume (mL)</t>
  </si>
  <si>
    <t>Aqueous Volume (mL)</t>
  </si>
  <si>
    <t>Nitrous Oxide</t>
  </si>
  <si>
    <t>Sulfur Hexafluoride</t>
  </si>
  <si>
    <t>Headspace Gas Concentration (mg/L) [Assuming headspace is N2]</t>
  </si>
  <si>
    <t>Partitioned Aqueous Concentrations (mg/L) [Henry's Law Gas Conversion Sheet]</t>
  </si>
  <si>
    <t>Total Mass in Vial (mg)</t>
  </si>
  <si>
    <t>Initial Concentration Prior to Equilibrium (mg/L)</t>
  </si>
  <si>
    <t>Zeroed Concentrations (mg/L)</t>
  </si>
  <si>
    <t>Corrected Tracer Solution (mg/L)</t>
  </si>
  <si>
    <t>Normalized Concentrations</t>
  </si>
  <si>
    <t>Bromide</t>
  </si>
  <si>
    <t>Normalized C/C0</t>
  </si>
  <si>
    <t>Vial 1.gcd</t>
  </si>
  <si>
    <t>Vial 2.gcd</t>
  </si>
  <si>
    <t>Vial 3.gcd</t>
  </si>
  <si>
    <t>Vial 4.gcd</t>
  </si>
  <si>
    <t>Vial 5.gcd</t>
  </si>
  <si>
    <t>Vial 6.gcd</t>
  </si>
  <si>
    <t>Vial 7.gcd</t>
  </si>
  <si>
    <t>Vial 8.gcd</t>
  </si>
  <si>
    <t>Vial 9.gcd</t>
  </si>
  <si>
    <t>Vial 10.gcd</t>
  </si>
  <si>
    <t>Vial 11.gcd</t>
  </si>
  <si>
    <t>Vial 12.gcd</t>
  </si>
  <si>
    <t>Vial 13.gcd</t>
  </si>
  <si>
    <t>Vial 14.gcd</t>
  </si>
  <si>
    <t>Vial 15.gcd</t>
  </si>
  <si>
    <t>Vial 16.gcd</t>
  </si>
  <si>
    <t>Vial 17.gcd</t>
  </si>
  <si>
    <t>Vial 18.gcd</t>
  </si>
  <si>
    <t>Vial 19.gcd</t>
  </si>
  <si>
    <t>Vial 20.gcd</t>
  </si>
  <si>
    <t>Vial 21.gcd</t>
  </si>
  <si>
    <t>Vial 22.gcd</t>
  </si>
  <si>
    <t>Vial 23.gcd</t>
  </si>
  <si>
    <t>Vial 24.gcd</t>
  </si>
  <si>
    <t>Vial 25.gcd</t>
  </si>
  <si>
    <t>Vial 26.gcd</t>
  </si>
  <si>
    <t>Vial 27.gcd</t>
  </si>
  <si>
    <t>Vial 28.gcd</t>
  </si>
  <si>
    <t>Eff 3</t>
  </si>
  <si>
    <t>Methane</t>
  </si>
  <si>
    <t>Concentration [ppmv] (From Sanam Cal Curves) and Dec 19, 2017</t>
  </si>
  <si>
    <t>Port 3E</t>
  </si>
  <si>
    <t>Port 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</si>
</sst>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3" fontId="0" fillId="0" borderId="0" xfId="0" applyNumberFormat="1"/>
    <xf numFmtId="20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20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3" fontId="0" fillId="3" borderId="0" xfId="0" applyNumberFormat="1" applyFill="1"/>
    <xf numFmtId="0" fontId="0" fillId="0" borderId="0" xfId="0" applyFill="1" applyAlignment="1">
      <alignment horizontal="center"/>
    </xf>
    <xf numFmtId="3" fontId="0" fillId="0" borderId="0" xfId="0" applyNumberFormat="1" applyFill="1"/>
    <xf numFmtId="0" fontId="0" fillId="0" borderId="0" xfId="0" applyFill="1" applyAlignment="1">
      <alignment horizontal="center"/>
    </xf>
    <xf numFmtId="3" fontId="0" fillId="0" borderId="0" xfId="0" applyNumberFormat="1"/>
    <xf numFmtId="3" fontId="0" fillId="0" borderId="0" xfId="0" applyNumberFormat="1"/>
    <xf numFmtId="3" fontId="0" fillId="0" borderId="0" xfId="0" applyNumberFormat="1"/>
    <xf numFmtId="3" fontId="0" fillId="0" borderId="0" xfId="0" applyNumberFormat="1"/>
    <xf numFmtId="3" fontId="0" fillId="0" borderId="0" xfId="0" applyNumberFormat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Ethane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x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('Aqueous Samples'!$D$12:$D$20,'Aqueous Samples'!$D$22:$D$26,'Aqueous Samples'!$D$28:$D$30,'Aqueous Samples'!$D$32:$D$33,'Aqueous Samples'!$D$35:$D$36)</c:f>
              <c:numCache>
                <c:formatCode>0</c:formatCode>
                <c:ptCount val="21"/>
                <c:pt idx="0">
                  <c:v>0</c:v>
                </c:pt>
                <c:pt idx="1">
                  <c:v>19.999999999999929</c:v>
                </c:pt>
                <c:pt idx="2">
                  <c:v>40.000000000000014</c:v>
                </c:pt>
                <c:pt idx="3">
                  <c:v>60.000000000000028</c:v>
                </c:pt>
                <c:pt idx="4">
                  <c:v>80.999999999999957</c:v>
                </c:pt>
                <c:pt idx="5">
                  <c:v>100.00000000000004</c:v>
                </c:pt>
                <c:pt idx="6">
                  <c:v>119.99999999999997</c:v>
                </c:pt>
                <c:pt idx="7">
                  <c:v>139.99999999999991</c:v>
                </c:pt>
                <c:pt idx="8">
                  <c:v>161</c:v>
                </c:pt>
                <c:pt idx="9">
                  <c:v>180.00000000000009</c:v>
                </c:pt>
                <c:pt idx="10">
                  <c:v>200</c:v>
                </c:pt>
                <c:pt idx="11">
                  <c:v>229.99999999999991</c:v>
                </c:pt>
                <c:pt idx="12">
                  <c:v>259.99999999999994</c:v>
                </c:pt>
                <c:pt idx="13">
                  <c:v>290</c:v>
                </c:pt>
                <c:pt idx="14">
                  <c:v>329.00000000000006</c:v>
                </c:pt>
                <c:pt idx="15">
                  <c:v>372.99999999999989</c:v>
                </c:pt>
                <c:pt idx="16">
                  <c:v>438.00000000000011</c:v>
                </c:pt>
                <c:pt idx="17">
                  <c:v>507.99999999999989</c:v>
                </c:pt>
                <c:pt idx="18">
                  <c:v>578</c:v>
                </c:pt>
                <c:pt idx="19">
                  <c:v>652</c:v>
                </c:pt>
                <c:pt idx="20">
                  <c:v>724</c:v>
                </c:pt>
              </c:numCache>
            </c:numRef>
          </c:xVal>
          <c:yVal>
            <c:numRef>
              <c:f>('Aqueous Samples'!$AZ$12:$AZ$20,'Aqueous Samples'!$AZ$22:$AZ$26,'Aqueous Samples'!$AZ$28:$AZ$30,'Aqueous Samples'!$AZ$32:$AZ$33,'Aqueous Samples'!$AZ$35:$AZ$36)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0.37185338384046979</c:v>
                </c:pt>
                <c:pt idx="5">
                  <c:v>0.48665091749916484</c:v>
                </c:pt>
                <c:pt idx="6">
                  <c:v>0.57389243769084597</c:v>
                </c:pt>
                <c:pt idx="7">
                  <c:v>0.62090035680289191</c:v>
                </c:pt>
                <c:pt idx="8">
                  <c:v>0.65113491463228346</c:v>
                </c:pt>
                <c:pt idx="9">
                  <c:v>0.65215309243848918</c:v>
                </c:pt>
                <c:pt idx="10">
                  <c:v>0.75051570465682793</c:v>
                </c:pt>
                <c:pt idx="11">
                  <c:v>0.73472200498012286</c:v>
                </c:pt>
                <c:pt idx="12">
                  <c:v>0.74721947320423143</c:v>
                </c:pt>
                <c:pt idx="13">
                  <c:v>0.7321310105039408</c:v>
                </c:pt>
                <c:pt idx="14">
                  <c:v>0.81305641195353773</c:v>
                </c:pt>
                <c:pt idx="15">
                  <c:v>0.7734421238548026</c:v>
                </c:pt>
                <c:pt idx="16">
                  <c:v>0.81812811387189355</c:v>
                </c:pt>
                <c:pt idx="17">
                  <c:v>0.91362438476922914</c:v>
                </c:pt>
                <c:pt idx="18">
                  <c:v>0.99853711732534989</c:v>
                </c:pt>
                <c:pt idx="19">
                  <c:v>0.9512687755290935</c:v>
                </c:pt>
                <c:pt idx="20">
                  <c:v>0.96085762695972388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864E-4359-97F5-19E8C32220A9}"/>
            </c:ext>
          </c:extLst>
        </c:ser>
        <c:ser>
          <c:idx val="1"/>
          <c:order val="1"/>
          <c:tx>
            <c:v>Helium</c:v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('Aqueous Samples'!$D$12:$D$20,'Aqueous Samples'!$D$22:$D$26,'Aqueous Samples'!$D$28:$D$30,'Aqueous Samples'!$D$32:$D$33,'Aqueous Samples'!$D$35:$D$36)</c:f>
              <c:numCache>
                <c:formatCode>0</c:formatCode>
                <c:ptCount val="21"/>
                <c:pt idx="0">
                  <c:v>0</c:v>
                </c:pt>
                <c:pt idx="1">
                  <c:v>19.999999999999929</c:v>
                </c:pt>
                <c:pt idx="2">
                  <c:v>40.000000000000014</c:v>
                </c:pt>
                <c:pt idx="3">
                  <c:v>60.000000000000028</c:v>
                </c:pt>
                <c:pt idx="4">
                  <c:v>80.999999999999957</c:v>
                </c:pt>
                <c:pt idx="5">
                  <c:v>100.00000000000004</c:v>
                </c:pt>
                <c:pt idx="6">
                  <c:v>119.99999999999997</c:v>
                </c:pt>
                <c:pt idx="7">
                  <c:v>139.99999999999991</c:v>
                </c:pt>
                <c:pt idx="8">
                  <c:v>161</c:v>
                </c:pt>
                <c:pt idx="9">
                  <c:v>180.00000000000009</c:v>
                </c:pt>
                <c:pt idx="10">
                  <c:v>200</c:v>
                </c:pt>
                <c:pt idx="11">
                  <c:v>229.99999999999991</c:v>
                </c:pt>
                <c:pt idx="12">
                  <c:v>259.99999999999994</c:v>
                </c:pt>
                <c:pt idx="13">
                  <c:v>290</c:v>
                </c:pt>
                <c:pt idx="14">
                  <c:v>329.00000000000006</c:v>
                </c:pt>
                <c:pt idx="15">
                  <c:v>372.99999999999989</c:v>
                </c:pt>
                <c:pt idx="16">
                  <c:v>438.00000000000011</c:v>
                </c:pt>
                <c:pt idx="17">
                  <c:v>507.99999999999989</c:v>
                </c:pt>
                <c:pt idx="18">
                  <c:v>578</c:v>
                </c:pt>
                <c:pt idx="19">
                  <c:v>652</c:v>
                </c:pt>
                <c:pt idx="20">
                  <c:v>724</c:v>
                </c:pt>
              </c:numCache>
            </c:numRef>
          </c:xVal>
          <c:yVal>
            <c:numRef>
              <c:f>('Aqueous Samples'!$BA$12:$BA$20,'Aqueous Samples'!$BA$22:$BA$26,'Aqueous Samples'!$BA$28:$BA$30,'Aqueous Samples'!$BA$32:$BA$33,'Aqueous Samples'!$BA$35:$BA$36)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5.2853572925827146E-2</c:v>
                </c:pt>
                <c:pt idx="4">
                  <c:v>0.10826031440727781</c:v>
                </c:pt>
                <c:pt idx="5">
                  <c:v>0.17165990388166388</c:v>
                </c:pt>
                <c:pt idx="6">
                  <c:v>0.21946247335726848</c:v>
                </c:pt>
                <c:pt idx="7">
                  <c:v>0.25375005060663092</c:v>
                </c:pt>
                <c:pt idx="8">
                  <c:v>0.2596151326003408</c:v>
                </c:pt>
                <c:pt idx="9">
                  <c:v>0.28098938154924774</c:v>
                </c:pt>
                <c:pt idx="10">
                  <c:v>0.30536818233429119</c:v>
                </c:pt>
                <c:pt idx="11">
                  <c:v>0.30076596030799241</c:v>
                </c:pt>
                <c:pt idx="12">
                  <c:v>0.31767547850177985</c:v>
                </c:pt>
                <c:pt idx="13">
                  <c:v>0.31011244590813392</c:v>
                </c:pt>
                <c:pt idx="14">
                  <c:v>0.33809360445262443</c:v>
                </c:pt>
                <c:pt idx="15">
                  <c:v>0.33593425509305558</c:v>
                </c:pt>
                <c:pt idx="16">
                  <c:v>0.40447595578442358</c:v>
                </c:pt>
                <c:pt idx="17">
                  <c:v>0.53591303127648737</c:v>
                </c:pt>
                <c:pt idx="18">
                  <c:v>0.67544148041674856</c:v>
                </c:pt>
                <c:pt idx="19">
                  <c:v>0.67121218818061412</c:v>
                </c:pt>
                <c:pt idx="20">
                  <c:v>0.72298770397380685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864E-4359-97F5-19E8C32220A9}"/>
            </c:ext>
          </c:extLst>
        </c:ser>
        <c:ser>
          <c:idx val="3"/>
          <c:order val="2"/>
          <c:tx>
            <c:v>Sulfur Hexafluoride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('Aqueous Samples'!$D$12:$D$20,'Aqueous Samples'!$D$22:$D$26,'Aqueous Samples'!$D$28:$D$30,'Aqueous Samples'!$D$32:$D$33,'Aqueous Samples'!$D$35:$D$36)</c:f>
              <c:numCache>
                <c:formatCode>0</c:formatCode>
                <c:ptCount val="21"/>
                <c:pt idx="0">
                  <c:v>0</c:v>
                </c:pt>
                <c:pt idx="1">
                  <c:v>19.999999999999929</c:v>
                </c:pt>
                <c:pt idx="2">
                  <c:v>40.000000000000014</c:v>
                </c:pt>
                <c:pt idx="3">
                  <c:v>60.000000000000028</c:v>
                </c:pt>
                <c:pt idx="4">
                  <c:v>80.999999999999957</c:v>
                </c:pt>
                <c:pt idx="5">
                  <c:v>100.00000000000004</c:v>
                </c:pt>
                <c:pt idx="6">
                  <c:v>119.99999999999997</c:v>
                </c:pt>
                <c:pt idx="7">
                  <c:v>139.99999999999991</c:v>
                </c:pt>
                <c:pt idx="8">
                  <c:v>161</c:v>
                </c:pt>
                <c:pt idx="9">
                  <c:v>180.00000000000009</c:v>
                </c:pt>
                <c:pt idx="10">
                  <c:v>200</c:v>
                </c:pt>
                <c:pt idx="11">
                  <c:v>229.99999999999991</c:v>
                </c:pt>
                <c:pt idx="12">
                  <c:v>259.99999999999994</c:v>
                </c:pt>
                <c:pt idx="13">
                  <c:v>290</c:v>
                </c:pt>
                <c:pt idx="14">
                  <c:v>329.00000000000006</c:v>
                </c:pt>
                <c:pt idx="15">
                  <c:v>372.99999999999989</c:v>
                </c:pt>
                <c:pt idx="16">
                  <c:v>438.00000000000011</c:v>
                </c:pt>
                <c:pt idx="17">
                  <c:v>507.99999999999989</c:v>
                </c:pt>
                <c:pt idx="18">
                  <c:v>578</c:v>
                </c:pt>
                <c:pt idx="19">
                  <c:v>652</c:v>
                </c:pt>
                <c:pt idx="20">
                  <c:v>724</c:v>
                </c:pt>
              </c:numCache>
            </c:numRef>
          </c:xVal>
          <c:yVal>
            <c:numRef>
              <c:f>('Aqueous Samples'!$BC$12:$BC$20,'Aqueous Samples'!$BC$22:$BC$26,'Aqueous Samples'!$BC$28:$BC$30,'Aqueous Samples'!$BC$32:$BC$33,'Aqueous Samples'!$BC$35:$BC$36)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0.28088884725994601</c:v>
                </c:pt>
                <c:pt idx="4">
                  <c:v>0.43849077179903945</c:v>
                </c:pt>
                <c:pt idx="5">
                  <c:v>0.53217143795061561</c:v>
                </c:pt>
                <c:pt idx="6">
                  <c:v>0.61670157940941717</c:v>
                </c:pt>
                <c:pt idx="7">
                  <c:v>0.67158385098474471</c:v>
                </c:pt>
                <c:pt idx="8">
                  <c:v>0.64132127519275706</c:v>
                </c:pt>
                <c:pt idx="9">
                  <c:v>0.68336216178488884</c:v>
                </c:pt>
                <c:pt idx="10">
                  <c:v>0.76110118494745838</c:v>
                </c:pt>
                <c:pt idx="11">
                  <c:v>0.70085773447068045</c:v>
                </c:pt>
                <c:pt idx="12">
                  <c:v>0.72812181069589543</c:v>
                </c:pt>
                <c:pt idx="13">
                  <c:v>0.68595580061564287</c:v>
                </c:pt>
                <c:pt idx="14">
                  <c:v>0.77372623956915842</c:v>
                </c:pt>
                <c:pt idx="15">
                  <c:v>0.74885004182963344</c:v>
                </c:pt>
                <c:pt idx="16">
                  <c:v>0.77768556102092745</c:v>
                </c:pt>
                <c:pt idx="17">
                  <c:v>0.83747068459043672</c:v>
                </c:pt>
                <c:pt idx="18">
                  <c:v>0.90670351869910382</c:v>
                </c:pt>
                <c:pt idx="19">
                  <c:v>0.88644660063359237</c:v>
                </c:pt>
                <c:pt idx="20">
                  <c:v>0.83106925002457976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864E-4359-97F5-19E8C32220A9}"/>
            </c:ext>
          </c:extLst>
        </c:ser>
        <c:ser>
          <c:idx val="2"/>
          <c:order val="3"/>
          <c:tx>
            <c:v>Bromide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9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('Aqueous Samples'!$BG$12:$BG$28,'Aqueous Samples'!$BG$30:$BG$38,'Aqueous Samples'!$BG$40:$BG$42,'Aqueous Samples'!$BG$44:$BG$45,'Aqueous Samples'!$BG$47:$BG$48)</c:f>
              <c:numCache>
                <c:formatCode>General</c:formatCode>
                <c:ptCount val="33"/>
                <c:pt idx="0" formatCode="0">
                  <c:v>0</c:v>
                </c:pt>
                <c:pt idx="1">
                  <c:v>10</c:v>
                </c:pt>
                <c:pt idx="2" formatCode="0">
                  <c:v>19.999999999999929</c:v>
                </c:pt>
                <c:pt idx="3">
                  <c:v>30</c:v>
                </c:pt>
                <c:pt idx="4" formatCode="0">
                  <c:v>40.000000000000014</c:v>
                </c:pt>
                <c:pt idx="5">
                  <c:v>50</c:v>
                </c:pt>
                <c:pt idx="6" formatCode="0">
                  <c:v>60.000000000000028</c:v>
                </c:pt>
                <c:pt idx="7">
                  <c:v>70</c:v>
                </c:pt>
                <c:pt idx="8" formatCode="0">
                  <c:v>80.999999999999957</c:v>
                </c:pt>
                <c:pt idx="9">
                  <c:v>91</c:v>
                </c:pt>
                <c:pt idx="10" formatCode="0">
                  <c:v>100.00000000000004</c:v>
                </c:pt>
                <c:pt idx="11">
                  <c:v>113</c:v>
                </c:pt>
                <c:pt idx="12" formatCode="0">
                  <c:v>119.99999999999997</c:v>
                </c:pt>
                <c:pt idx="13">
                  <c:v>130</c:v>
                </c:pt>
                <c:pt idx="14" formatCode="0">
                  <c:v>139.99999999999991</c:v>
                </c:pt>
                <c:pt idx="15">
                  <c:v>150</c:v>
                </c:pt>
                <c:pt idx="16" formatCode="0">
                  <c:v>161</c:v>
                </c:pt>
                <c:pt idx="17">
                  <c:v>170</c:v>
                </c:pt>
                <c:pt idx="18" formatCode="0">
                  <c:v>180.00000000000009</c:v>
                </c:pt>
                <c:pt idx="19">
                  <c:v>190</c:v>
                </c:pt>
                <c:pt idx="20" formatCode="0">
                  <c:v>200</c:v>
                </c:pt>
                <c:pt idx="21">
                  <c:v>215</c:v>
                </c:pt>
                <c:pt idx="22" formatCode="0">
                  <c:v>229.99999999999991</c:v>
                </c:pt>
                <c:pt idx="23">
                  <c:v>245</c:v>
                </c:pt>
                <c:pt idx="24" formatCode="0">
                  <c:v>259.99999999999994</c:v>
                </c:pt>
                <c:pt idx="25" formatCode="0">
                  <c:v>290</c:v>
                </c:pt>
                <c:pt idx="26" formatCode="0">
                  <c:v>329.00000000000006</c:v>
                </c:pt>
                <c:pt idx="27" formatCode="0">
                  <c:v>372.99999999999989</c:v>
                </c:pt>
                <c:pt idx="28" formatCode="0">
                  <c:v>438.00000000000011</c:v>
                </c:pt>
                <c:pt idx="29" formatCode="0">
                  <c:v>507.99999999999989</c:v>
                </c:pt>
                <c:pt idx="30" formatCode="0">
                  <c:v>578</c:v>
                </c:pt>
                <c:pt idx="31" formatCode="0">
                  <c:v>652</c:v>
                </c:pt>
                <c:pt idx="32" formatCode="0">
                  <c:v>724</c:v>
                </c:pt>
              </c:numCache>
            </c:numRef>
          </c:xVal>
          <c:yVal>
            <c:numRef>
              <c:f>('Aqueous Samples'!$BH$12:$BH$28,'Aqueous Samples'!$BH$30:$BH$38,'Aqueous Samples'!$BH$40:$BH$41,'Aqueous Samples'!$BH$42,'Aqueous Samples'!$BH$44:$BH$45,'Aqueous Samples'!$BH$47:$BH$48)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0.21066371270101938</c:v>
                </c:pt>
                <c:pt idx="4">
                  <c:v>0.2929306231214947</c:v>
                </c:pt>
                <c:pt idx="5">
                  <c:v>0.36121525733585347</c:v>
                </c:pt>
                <c:pt idx="6">
                  <c:v>0.50855204040529223</c:v>
                </c:pt>
                <c:pt idx="7">
                  <c:v>0.58593871037709533</c:v>
                </c:pt>
                <c:pt idx="8">
                  <c:v>0.68881108046974238</c:v>
                </c:pt>
                <c:pt idx="9">
                  <c:v>0.75554643200198301</c:v>
                </c:pt>
                <c:pt idx="10">
                  <c:v>0.848348464660862</c:v>
                </c:pt>
                <c:pt idx="11">
                  <c:v>0.84865832119728557</c:v>
                </c:pt>
                <c:pt idx="12">
                  <c:v>0.88715799584792232</c:v>
                </c:pt>
                <c:pt idx="13">
                  <c:v>0.89199950422954166</c:v>
                </c:pt>
                <c:pt idx="14">
                  <c:v>0.93491463452421519</c:v>
                </c:pt>
                <c:pt idx="15">
                  <c:v>0.91946053977008624</c:v>
                </c:pt>
                <c:pt idx="16">
                  <c:v>0.94560468503083051</c:v>
                </c:pt>
                <c:pt idx="17">
                  <c:v>0.94084064078331719</c:v>
                </c:pt>
                <c:pt idx="18">
                  <c:v>0.96349890000929561</c:v>
                </c:pt>
                <c:pt idx="19">
                  <c:v>0.95544263006228103</c:v>
                </c:pt>
                <c:pt idx="20">
                  <c:v>1.0299631270721654</c:v>
                </c:pt>
                <c:pt idx="21">
                  <c:v>0.96318904347287204</c:v>
                </c:pt>
                <c:pt idx="22">
                  <c:v>0.98941065286772212</c:v>
                </c:pt>
                <c:pt idx="23">
                  <c:v>0.99150218448858152</c:v>
                </c:pt>
                <c:pt idx="24">
                  <c:v>1.0108294859480058</c:v>
                </c:pt>
                <c:pt idx="25">
                  <c:v>0.9771713196789884</c:v>
                </c:pt>
                <c:pt idx="26">
                  <c:v>0.97705512347782975</c:v>
                </c:pt>
                <c:pt idx="27">
                  <c:v>0.98666067610696229</c:v>
                </c:pt>
                <c:pt idx="28">
                  <c:v>0.99312893130480562</c:v>
                </c:pt>
                <c:pt idx="29">
                  <c:v>0.96861153286028545</c:v>
                </c:pt>
                <c:pt idx="30">
                  <c:v>0.98030861711027784</c:v>
                </c:pt>
                <c:pt idx="31">
                  <c:v>0.97120658135283344</c:v>
                </c:pt>
                <c:pt idx="32">
                  <c:v>0.98739658538096853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81A-4589-870E-228A5020F1A8}"/>
            </c:ext>
          </c:extLst>
        </c:ser>
        <c:ser>
          <c:idx val="4"/>
          <c:order val="4"/>
          <c:tx>
            <c:v>Nitrous Oxide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('Aqueous Samples'!$D$12:$D$20,'Aqueous Samples'!$D$22:$D$26,'Aqueous Samples'!$D$28:$D$30,'Aqueous Samples'!$D$32:$D$33,'Aqueous Samples'!$D$35:$D$36)</c:f>
              <c:numCache>
                <c:formatCode>0</c:formatCode>
                <c:ptCount val="21"/>
                <c:pt idx="0">
                  <c:v>0</c:v>
                </c:pt>
                <c:pt idx="1">
                  <c:v>19.999999999999929</c:v>
                </c:pt>
                <c:pt idx="2">
                  <c:v>40.000000000000014</c:v>
                </c:pt>
                <c:pt idx="3">
                  <c:v>60.000000000000028</c:v>
                </c:pt>
                <c:pt idx="4">
                  <c:v>80.999999999999957</c:v>
                </c:pt>
                <c:pt idx="5">
                  <c:v>100.00000000000004</c:v>
                </c:pt>
                <c:pt idx="6">
                  <c:v>119.99999999999997</c:v>
                </c:pt>
                <c:pt idx="7">
                  <c:v>139.99999999999991</c:v>
                </c:pt>
                <c:pt idx="8">
                  <c:v>161</c:v>
                </c:pt>
                <c:pt idx="9">
                  <c:v>180.00000000000009</c:v>
                </c:pt>
                <c:pt idx="10">
                  <c:v>200</c:v>
                </c:pt>
                <c:pt idx="11">
                  <c:v>229.99999999999991</c:v>
                </c:pt>
                <c:pt idx="12">
                  <c:v>259.99999999999994</c:v>
                </c:pt>
                <c:pt idx="13">
                  <c:v>290</c:v>
                </c:pt>
                <c:pt idx="14">
                  <c:v>329.00000000000006</c:v>
                </c:pt>
                <c:pt idx="15">
                  <c:v>372.99999999999989</c:v>
                </c:pt>
                <c:pt idx="16">
                  <c:v>438.00000000000011</c:v>
                </c:pt>
                <c:pt idx="17">
                  <c:v>507.99999999999989</c:v>
                </c:pt>
                <c:pt idx="18">
                  <c:v>578</c:v>
                </c:pt>
                <c:pt idx="19">
                  <c:v>652</c:v>
                </c:pt>
                <c:pt idx="20">
                  <c:v>724</c:v>
                </c:pt>
              </c:numCache>
            </c:numRef>
          </c:xVal>
          <c:yVal>
            <c:numRef>
              <c:f>('Aqueous Samples'!$BB$12:$BB$20,'Aqueous Samples'!$BB$22:$BB$26,'Aqueous Samples'!$BB$28:$BB$30,'Aqueous Samples'!$BB$32:$BB$33,'Aqueous Samples'!$BB$35:$BB$36)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8.5046777834676332E-2</c:v>
                </c:pt>
                <c:pt idx="3">
                  <c:v>0.28659199090158782</c:v>
                </c:pt>
                <c:pt idx="4">
                  <c:v>0.46268356724548876</c:v>
                </c:pt>
                <c:pt idx="5">
                  <c:v>0.60187527648995232</c:v>
                </c:pt>
                <c:pt idx="6">
                  <c:v>0.70024351174515365</c:v>
                </c:pt>
                <c:pt idx="7">
                  <c:v>0.78407212549598637</c:v>
                </c:pt>
                <c:pt idx="8">
                  <c:v>0.82463816880900531</c:v>
                </c:pt>
                <c:pt idx="9">
                  <c:v>0.85865729123004164</c:v>
                </c:pt>
                <c:pt idx="10">
                  <c:v>0.90014910287794248</c:v>
                </c:pt>
                <c:pt idx="11">
                  <c:v>0.87386918825243776</c:v>
                </c:pt>
                <c:pt idx="12">
                  <c:v>0.91568949697259594</c:v>
                </c:pt>
                <c:pt idx="13">
                  <c:v>0.91230352607929766</c:v>
                </c:pt>
                <c:pt idx="14">
                  <c:v>0.94302463255425439</c:v>
                </c:pt>
                <c:pt idx="15">
                  <c:v>0.93866867868077097</c:v>
                </c:pt>
                <c:pt idx="16">
                  <c:v>0.94810546043250599</c:v>
                </c:pt>
                <c:pt idx="17">
                  <c:v>0.99281302543944516</c:v>
                </c:pt>
                <c:pt idx="18">
                  <c:v>1.0357141833493273</c:v>
                </c:pt>
                <c:pt idx="19">
                  <c:v>0.9848220011207871</c:v>
                </c:pt>
                <c:pt idx="20">
                  <c:v>0.95084379638773298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84-479B-B4F9-01F86D5B2418}"/>
            </c:ext>
          </c:extLst>
        </c:ser>
        <c:ser>
          <c:idx val="5"/>
          <c:order val="5"/>
          <c:tx>
            <c:v>Methane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('Aqueous Samples'!$D$12:$D$20,'Aqueous Samples'!$D$22:$D$26,'Aqueous Samples'!$D$28:$D$30,'Aqueous Samples'!$D$32:$D$33,'Aqueous Samples'!$D$35:$D$36)</c:f>
              <c:numCache>
                <c:formatCode>0</c:formatCode>
                <c:ptCount val="21"/>
                <c:pt idx="0">
                  <c:v>0</c:v>
                </c:pt>
                <c:pt idx="1">
                  <c:v>19.999999999999929</c:v>
                </c:pt>
                <c:pt idx="2">
                  <c:v>40.000000000000014</c:v>
                </c:pt>
                <c:pt idx="3">
                  <c:v>60.000000000000028</c:v>
                </c:pt>
                <c:pt idx="4">
                  <c:v>80.999999999999957</c:v>
                </c:pt>
                <c:pt idx="5">
                  <c:v>100.00000000000004</c:v>
                </c:pt>
                <c:pt idx="6">
                  <c:v>119.99999999999997</c:v>
                </c:pt>
                <c:pt idx="7">
                  <c:v>139.99999999999991</c:v>
                </c:pt>
                <c:pt idx="8">
                  <c:v>161</c:v>
                </c:pt>
                <c:pt idx="9">
                  <c:v>180.00000000000009</c:v>
                </c:pt>
                <c:pt idx="10">
                  <c:v>200</c:v>
                </c:pt>
                <c:pt idx="11">
                  <c:v>229.99999999999991</c:v>
                </c:pt>
                <c:pt idx="12">
                  <c:v>259.99999999999994</c:v>
                </c:pt>
                <c:pt idx="13">
                  <c:v>290</c:v>
                </c:pt>
                <c:pt idx="14">
                  <c:v>329.00000000000006</c:v>
                </c:pt>
                <c:pt idx="15">
                  <c:v>372.99999999999989</c:v>
                </c:pt>
                <c:pt idx="16">
                  <c:v>438.00000000000011</c:v>
                </c:pt>
                <c:pt idx="17">
                  <c:v>507.99999999999989</c:v>
                </c:pt>
                <c:pt idx="18">
                  <c:v>578</c:v>
                </c:pt>
                <c:pt idx="19">
                  <c:v>652</c:v>
                </c:pt>
                <c:pt idx="20">
                  <c:v>724</c:v>
                </c:pt>
              </c:numCache>
            </c:numRef>
          </c:xVal>
          <c:yVal>
            <c:numRef>
              <c:f>('Aqueous Samples'!$BD$12:$BD$20,'Aqueous Samples'!$BD$22:$BD$26,'Aqueous Samples'!$BD$28:$BD$30,'Aqueous Samples'!$BD$32:$BD$33,'Aqueous Samples'!$BD$35:$BD$36)</c:f>
              <c:numCache>
                <c:formatCode>General</c:formatCode>
                <c:ptCount val="21"/>
                <c:pt idx="0">
                  <c:v>3.6535780582107579E-4</c:v>
                </c:pt>
                <c:pt idx="1">
                  <c:v>1.4605809464802958E-3</c:v>
                </c:pt>
                <c:pt idx="2">
                  <c:v>4.725038649933834E-2</c:v>
                </c:pt>
                <c:pt idx="3">
                  <c:v>0.18631730511783981</c:v>
                </c:pt>
                <c:pt idx="4">
                  <c:v>0.31199569199264898</c:v>
                </c:pt>
                <c:pt idx="5">
                  <c:v>0.4185137279469664</c:v>
                </c:pt>
                <c:pt idx="6">
                  <c:v>0.50120675761514866</c:v>
                </c:pt>
                <c:pt idx="7">
                  <c:v>0.57026698345245797</c:v>
                </c:pt>
                <c:pt idx="8">
                  <c:v>0.5962679709001224</c:v>
                </c:pt>
                <c:pt idx="9">
                  <c:v>0.62972859380589385</c:v>
                </c:pt>
                <c:pt idx="10">
                  <c:v>0.67715064781717649</c:v>
                </c:pt>
                <c:pt idx="11">
                  <c:v>0.67306519087112082</c:v>
                </c:pt>
                <c:pt idx="12">
                  <c:v>0.70452651966747459</c:v>
                </c:pt>
                <c:pt idx="13">
                  <c:v>0.68530054000253648</c:v>
                </c:pt>
                <c:pt idx="14">
                  <c:v>0.74189691335808894</c:v>
                </c:pt>
                <c:pt idx="15">
                  <c:v>0.74703427696511426</c:v>
                </c:pt>
                <c:pt idx="16">
                  <c:v>0.79262927159051166</c:v>
                </c:pt>
                <c:pt idx="17">
                  <c:v>0.86427997522920574</c:v>
                </c:pt>
                <c:pt idx="18">
                  <c:v>0.92745565430547017</c:v>
                </c:pt>
                <c:pt idx="19">
                  <c:v>0.91744211999858483</c:v>
                </c:pt>
                <c:pt idx="20">
                  <c:v>0.94024103564620143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84-479B-B4F9-01F86D5B2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742504"/>
        <c:axId val="608744472"/>
        <c:extLst/>
      </c:scatterChart>
      <c:valAx>
        <c:axId val="608742504"/>
        <c:scaling>
          <c:orientation val="minMax"/>
          <c:max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44472"/>
        <c:crosses val="autoZero"/>
        <c:crossBetween val="midCat"/>
      </c:valAx>
      <c:valAx>
        <c:axId val="60874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42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N2O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('Aqueous Samples'!$D$12:$D$19,'Aqueous Samples'!$D$21:$D$26,'Aqueous Samples'!$D$29:$D$30,'Aqueous Samples'!$D$32:$D$33,'Aqueous Samples'!$D$35:$D$36)</c:f>
              <c:numCache>
                <c:formatCode>0</c:formatCode>
                <c:ptCount val="20"/>
                <c:pt idx="0">
                  <c:v>0</c:v>
                </c:pt>
                <c:pt idx="1">
                  <c:v>19.999999999999929</c:v>
                </c:pt>
                <c:pt idx="2">
                  <c:v>40.000000000000014</c:v>
                </c:pt>
                <c:pt idx="3">
                  <c:v>60.000000000000028</c:v>
                </c:pt>
                <c:pt idx="4">
                  <c:v>80.999999999999957</c:v>
                </c:pt>
                <c:pt idx="5">
                  <c:v>100.00000000000004</c:v>
                </c:pt>
                <c:pt idx="6">
                  <c:v>119.99999999999997</c:v>
                </c:pt>
                <c:pt idx="7">
                  <c:v>139.99999999999991</c:v>
                </c:pt>
                <c:pt idx="8">
                  <c:v>162.99999999999997</c:v>
                </c:pt>
                <c:pt idx="9">
                  <c:v>180.00000000000009</c:v>
                </c:pt>
                <c:pt idx="10">
                  <c:v>200</c:v>
                </c:pt>
                <c:pt idx="11">
                  <c:v>229.99999999999991</c:v>
                </c:pt>
                <c:pt idx="12">
                  <c:v>259.99999999999994</c:v>
                </c:pt>
                <c:pt idx="13">
                  <c:v>290</c:v>
                </c:pt>
                <c:pt idx="14">
                  <c:v>372.99999999999989</c:v>
                </c:pt>
                <c:pt idx="15">
                  <c:v>438.00000000000011</c:v>
                </c:pt>
                <c:pt idx="16">
                  <c:v>507.99999999999989</c:v>
                </c:pt>
                <c:pt idx="17">
                  <c:v>578</c:v>
                </c:pt>
                <c:pt idx="18">
                  <c:v>652</c:v>
                </c:pt>
                <c:pt idx="19">
                  <c:v>724</c:v>
                </c:pt>
              </c:numCache>
            </c:numRef>
          </c:xVal>
          <c:yVal>
            <c:numRef>
              <c:f>('Aqueous Samples'!$BB$12:$BB$19,'Aqueous Samples'!$BB$21:$BB$26,'Aqueous Samples'!$BB$29:$BB$30,'Aqueous Samples'!$BB$32:$BB$33,'Aqueous Samples'!$BB$35:$BB$36)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8.5046777834676332E-2</c:v>
                </c:pt>
                <c:pt idx="3">
                  <c:v>0.28659199090158782</c:v>
                </c:pt>
                <c:pt idx="4">
                  <c:v>0.46268356724548876</c:v>
                </c:pt>
                <c:pt idx="5">
                  <c:v>0.60187527648995232</c:v>
                </c:pt>
                <c:pt idx="6">
                  <c:v>0.70024351174515365</c:v>
                </c:pt>
                <c:pt idx="7">
                  <c:v>0.78407212549598637</c:v>
                </c:pt>
                <c:pt idx="8">
                  <c:v>1</c:v>
                </c:pt>
                <c:pt idx="9">
                  <c:v>0.85865729123004164</c:v>
                </c:pt>
                <c:pt idx="10">
                  <c:v>0.90014910287794248</c:v>
                </c:pt>
                <c:pt idx="11">
                  <c:v>0.87386918825243776</c:v>
                </c:pt>
                <c:pt idx="12">
                  <c:v>0.91568949697259594</c:v>
                </c:pt>
                <c:pt idx="13">
                  <c:v>0.91230352607929766</c:v>
                </c:pt>
                <c:pt idx="14">
                  <c:v>0.93866867868077097</c:v>
                </c:pt>
                <c:pt idx="15">
                  <c:v>0.94810546043250599</c:v>
                </c:pt>
                <c:pt idx="16">
                  <c:v>0.99281302543944516</c:v>
                </c:pt>
                <c:pt idx="17">
                  <c:v>1.0357141833493273</c:v>
                </c:pt>
                <c:pt idx="18">
                  <c:v>0.9848220011207871</c:v>
                </c:pt>
                <c:pt idx="19">
                  <c:v>0.95084379638773298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C497-45E0-B172-6B97409D6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926264"/>
        <c:axId val="788927904"/>
      </c:scatterChart>
      <c:valAx>
        <c:axId val="78892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927904"/>
        <c:crosses val="autoZero"/>
        <c:crossBetween val="midCat"/>
      </c:valAx>
      <c:valAx>
        <c:axId val="78892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926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('Aqueous Samples'!$D$12:$D$19,'Aqueous Samples'!$D$21:$D$26,'Aqueous Samples'!$D$29:$D$30,'Aqueous Samples'!$D$32:$D$33,'Aqueous Samples'!$D$35:$D$36)</c:f>
              <c:numCache>
                <c:formatCode>0</c:formatCode>
                <c:ptCount val="20"/>
                <c:pt idx="0">
                  <c:v>0</c:v>
                </c:pt>
                <c:pt idx="1">
                  <c:v>19.999999999999929</c:v>
                </c:pt>
                <c:pt idx="2">
                  <c:v>40.000000000000014</c:v>
                </c:pt>
                <c:pt idx="3">
                  <c:v>60.000000000000028</c:v>
                </c:pt>
                <c:pt idx="4">
                  <c:v>80.999999999999957</c:v>
                </c:pt>
                <c:pt idx="5">
                  <c:v>100.00000000000004</c:v>
                </c:pt>
                <c:pt idx="6">
                  <c:v>119.99999999999997</c:v>
                </c:pt>
                <c:pt idx="7">
                  <c:v>139.99999999999991</c:v>
                </c:pt>
                <c:pt idx="8">
                  <c:v>162.99999999999997</c:v>
                </c:pt>
                <c:pt idx="9">
                  <c:v>180.00000000000009</c:v>
                </c:pt>
                <c:pt idx="10">
                  <c:v>200</c:v>
                </c:pt>
                <c:pt idx="11">
                  <c:v>229.99999999999991</c:v>
                </c:pt>
                <c:pt idx="12">
                  <c:v>259.99999999999994</c:v>
                </c:pt>
                <c:pt idx="13">
                  <c:v>290</c:v>
                </c:pt>
                <c:pt idx="14">
                  <c:v>372.99999999999989</c:v>
                </c:pt>
                <c:pt idx="15">
                  <c:v>438.00000000000011</c:v>
                </c:pt>
                <c:pt idx="16">
                  <c:v>507.99999999999989</c:v>
                </c:pt>
                <c:pt idx="17">
                  <c:v>578</c:v>
                </c:pt>
                <c:pt idx="18">
                  <c:v>652</c:v>
                </c:pt>
                <c:pt idx="19">
                  <c:v>724</c:v>
                </c:pt>
              </c:numCache>
            </c:numRef>
          </c:xVal>
          <c:yVal>
            <c:numRef>
              <c:f>('Aqueous Samples'!$BD$12:$BD$19,'Aqueous Samples'!$BD$21:$BD$26,'Aqueous Samples'!$BD$28:$BD$29,'Aqueous Samples'!$BD$30,'Aqueous Samples'!$BD$32:$BD$33,'Aqueous Samples'!$BD$35:$BD$36)</c:f>
              <c:numCache>
                <c:formatCode>General</c:formatCode>
                <c:ptCount val="21"/>
                <c:pt idx="0">
                  <c:v>3.6535780582107579E-4</c:v>
                </c:pt>
                <c:pt idx="1">
                  <c:v>1.4605809464802958E-3</c:v>
                </c:pt>
                <c:pt idx="2">
                  <c:v>4.725038649933834E-2</c:v>
                </c:pt>
                <c:pt idx="3">
                  <c:v>0.18631730511783981</c:v>
                </c:pt>
                <c:pt idx="4">
                  <c:v>0.31199569199264898</c:v>
                </c:pt>
                <c:pt idx="5">
                  <c:v>0.4185137279469664</c:v>
                </c:pt>
                <c:pt idx="6">
                  <c:v>0.50120675761514866</c:v>
                </c:pt>
                <c:pt idx="7">
                  <c:v>0.57026698345245797</c:v>
                </c:pt>
                <c:pt idx="8">
                  <c:v>1</c:v>
                </c:pt>
                <c:pt idx="9">
                  <c:v>0.62972859380589385</c:v>
                </c:pt>
                <c:pt idx="10">
                  <c:v>0.67715064781717649</c:v>
                </c:pt>
                <c:pt idx="11">
                  <c:v>0.67306519087112082</c:v>
                </c:pt>
                <c:pt idx="12">
                  <c:v>0.70452651966747459</c:v>
                </c:pt>
                <c:pt idx="13">
                  <c:v>0.68530054000253648</c:v>
                </c:pt>
                <c:pt idx="14">
                  <c:v>0.74189691335808894</c:v>
                </c:pt>
                <c:pt idx="15">
                  <c:v>0.74703427696511426</c:v>
                </c:pt>
                <c:pt idx="16">
                  <c:v>0.79262927159051166</c:v>
                </c:pt>
                <c:pt idx="17">
                  <c:v>0.86427997522920574</c:v>
                </c:pt>
                <c:pt idx="18">
                  <c:v>0.92745565430547017</c:v>
                </c:pt>
                <c:pt idx="19">
                  <c:v>0.91744211999858483</c:v>
                </c:pt>
                <c:pt idx="20">
                  <c:v>0.94024103564620143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D-4AFF-A4DA-CDF3CCE54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653816"/>
        <c:axId val="792656440"/>
      </c:scatterChart>
      <c:valAx>
        <c:axId val="79265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656440"/>
        <c:crosses val="autoZero"/>
        <c:crossBetween val="midCat"/>
      </c:valAx>
      <c:valAx>
        <c:axId val="79265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653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404812</xdr:colOff>
      <xdr:row>4</xdr:row>
      <xdr:rowOff>95249</xdr:rowOff>
    </xdr:from>
    <xdr:to>
      <xdr:col>75</xdr:col>
      <xdr:colOff>114300</xdr:colOff>
      <xdr:row>31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C18A91-262D-492B-8CBC-509B8DF6A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62</xdr:col>
      <xdr:colOff>114300</xdr:colOff>
      <xdr:row>33</xdr:row>
      <xdr:rowOff>147637</xdr:rowOff>
    </xdr:from>
    <xdr:to>
      <xdr:col>69</xdr:col>
      <xdr:colOff>419100</xdr:colOff>
      <xdr:row>48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06C956-C0A5-4A77-9153-E320BA3999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70</xdr:col>
      <xdr:colOff>171450</xdr:colOff>
      <xdr:row>33</xdr:row>
      <xdr:rowOff>128587</xdr:rowOff>
    </xdr:from>
    <xdr:to>
      <xdr:col>77</xdr:col>
      <xdr:colOff>476250</xdr:colOff>
      <xdr:row>48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DF8246-A628-4162-ACAB-8A018D339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36"/>
  <sheetViews>
    <sheetView workbookViewId="0">
      <selection activeCell="G5" sqref="G5:G36"/>
    </sheetView>
  </sheetViews>
  <sheetFormatPr defaultRowHeight="15" x14ac:dyDescent="0.25"/>
  <cols>
    <col min="2" max="6" width="17" customWidth="1"/>
  </cols>
  <sheetData>
    <row r="2" spans="2:7" x14ac:dyDescent="0.25">
      <c r="B2" t="s">
        <v>35</v>
      </c>
      <c r="F2" s="2">
        <v>0.47916666666666669</v>
      </c>
    </row>
    <row r="4" spans="2:7" x14ac:dyDescent="0.25">
      <c r="B4" t="s">
        <v>33</v>
      </c>
      <c r="C4" t="s">
        <v>39</v>
      </c>
      <c r="D4" t="s">
        <v>71</v>
      </c>
      <c r="E4" t="s">
        <v>70</v>
      </c>
      <c r="F4" t="s">
        <v>69</v>
      </c>
      <c r="G4" t="s">
        <v>34</v>
      </c>
    </row>
    <row r="5" spans="2:7" x14ac:dyDescent="0.25">
      <c r="B5" t="s">
        <v>0</v>
      </c>
      <c r="C5" t="s">
        <v>40</v>
      </c>
      <c r="F5" s="2">
        <v>0.39166666666666666</v>
      </c>
      <c r="G5" s="1">
        <v>225064</v>
      </c>
    </row>
    <row r="6" spans="2:7" x14ac:dyDescent="0.25">
      <c r="B6" t="s">
        <v>2</v>
      </c>
      <c r="C6" t="s">
        <v>41</v>
      </c>
      <c r="F6" s="2">
        <v>0.39444444444444443</v>
      </c>
      <c r="G6" s="1">
        <v>260912</v>
      </c>
    </row>
    <row r="7" spans="2:7" x14ac:dyDescent="0.25">
      <c r="B7" t="s">
        <v>3</v>
      </c>
      <c r="C7" t="s">
        <v>42</v>
      </c>
      <c r="F7" s="2">
        <v>0.3979166666666667</v>
      </c>
      <c r="G7" s="1">
        <v>286666</v>
      </c>
    </row>
    <row r="8" spans="2:7" x14ac:dyDescent="0.25">
      <c r="B8" t="s">
        <v>4</v>
      </c>
      <c r="C8" t="s">
        <v>43</v>
      </c>
      <c r="F8" s="2">
        <v>0.39930555555555558</v>
      </c>
      <c r="G8" s="1">
        <v>272180</v>
      </c>
    </row>
    <row r="9" spans="2:7" x14ac:dyDescent="0.25">
      <c r="B9" t="s">
        <v>5</v>
      </c>
      <c r="C9" t="s">
        <v>44</v>
      </c>
      <c r="F9" s="2">
        <v>0.40138888888888885</v>
      </c>
      <c r="G9" s="1">
        <v>273945</v>
      </c>
    </row>
    <row r="10" spans="2:7" x14ac:dyDescent="0.25">
      <c r="B10" t="s">
        <v>6</v>
      </c>
      <c r="C10" t="s">
        <v>48</v>
      </c>
      <c r="F10" s="2">
        <v>0.4145833333333333</v>
      </c>
      <c r="G10" t="s">
        <v>1</v>
      </c>
    </row>
    <row r="11" spans="2:7" x14ac:dyDescent="0.25">
      <c r="B11" t="s">
        <v>7</v>
      </c>
      <c r="C11" t="s">
        <v>49</v>
      </c>
      <c r="F11" s="2">
        <v>0.41597222222222219</v>
      </c>
      <c r="G11" t="s">
        <v>1</v>
      </c>
    </row>
    <row r="12" spans="2:7" x14ac:dyDescent="0.25">
      <c r="B12" t="s">
        <v>8</v>
      </c>
      <c r="C12" t="s">
        <v>50</v>
      </c>
      <c r="F12" s="2">
        <v>0.41805555555555557</v>
      </c>
      <c r="G12" t="s">
        <v>1</v>
      </c>
    </row>
    <row r="13" spans="2:7" x14ac:dyDescent="0.25">
      <c r="B13" t="s">
        <v>9</v>
      </c>
      <c r="C13" t="s">
        <v>51</v>
      </c>
      <c r="F13" s="2">
        <v>0.43958333333333338</v>
      </c>
      <c r="G13" t="s">
        <v>1</v>
      </c>
    </row>
    <row r="14" spans="2:7" x14ac:dyDescent="0.25">
      <c r="B14" t="s">
        <v>10</v>
      </c>
      <c r="C14" t="s">
        <v>52</v>
      </c>
      <c r="F14" s="2">
        <v>0.44097222222222227</v>
      </c>
      <c r="G14" t="s">
        <v>1</v>
      </c>
    </row>
    <row r="15" spans="2:7" x14ac:dyDescent="0.25">
      <c r="B15" s="3" t="s">
        <v>11</v>
      </c>
      <c r="C15" t="s">
        <v>53</v>
      </c>
      <c r="F15" s="2">
        <v>0.46111111111111108</v>
      </c>
      <c r="G15" t="s">
        <v>1</v>
      </c>
    </row>
    <row r="16" spans="2:7" x14ac:dyDescent="0.25">
      <c r="B16" t="s">
        <v>12</v>
      </c>
      <c r="C16" t="s">
        <v>54</v>
      </c>
      <c r="D16">
        <f>24</f>
        <v>24</v>
      </c>
      <c r="E16" s="2">
        <f t="shared" ref="E16:E33" si="0">F16-$F$2</f>
        <v>1.6666666666666663E-2</v>
      </c>
      <c r="F16" s="2">
        <v>0.49583333333333335</v>
      </c>
      <c r="G16" t="s">
        <v>1</v>
      </c>
    </row>
    <row r="17" spans="2:7" x14ac:dyDescent="0.25">
      <c r="B17" t="s">
        <v>13</v>
      </c>
      <c r="C17" t="s">
        <v>55</v>
      </c>
      <c r="D17">
        <f>50</f>
        <v>50</v>
      </c>
      <c r="E17" s="2">
        <f t="shared" si="0"/>
        <v>3.4722222222222265E-2</v>
      </c>
      <c r="F17" s="2">
        <v>0.51388888888888895</v>
      </c>
      <c r="G17" t="s">
        <v>1</v>
      </c>
    </row>
    <row r="18" spans="2:7" x14ac:dyDescent="0.25">
      <c r="B18" t="s">
        <v>14</v>
      </c>
      <c r="C18" t="s">
        <v>56</v>
      </c>
      <c r="D18">
        <f>60*1+14</f>
        <v>74</v>
      </c>
      <c r="E18" s="2">
        <f t="shared" si="0"/>
        <v>5.1388888888888873E-2</v>
      </c>
      <c r="F18" s="2">
        <v>0.53055555555555556</v>
      </c>
      <c r="G18" t="s">
        <v>1</v>
      </c>
    </row>
    <row r="19" spans="2:7" x14ac:dyDescent="0.25">
      <c r="B19" t="s">
        <v>15</v>
      </c>
      <c r="C19" t="s">
        <v>57</v>
      </c>
      <c r="D19">
        <f>1*60+34</f>
        <v>94</v>
      </c>
      <c r="E19" s="2">
        <f t="shared" si="0"/>
        <v>6.5277777777777712E-2</v>
      </c>
      <c r="F19" s="2">
        <v>0.5444444444444444</v>
      </c>
      <c r="G19" t="s">
        <v>1</v>
      </c>
    </row>
    <row r="20" spans="2:7" x14ac:dyDescent="0.25">
      <c r="B20" t="s">
        <v>16</v>
      </c>
      <c r="C20" t="s">
        <v>58</v>
      </c>
      <c r="D20">
        <f>1*60+36</f>
        <v>96</v>
      </c>
      <c r="E20" s="2">
        <f t="shared" si="0"/>
        <v>6.6666666666666596E-2</v>
      </c>
      <c r="F20" s="2">
        <v>0.54583333333333328</v>
      </c>
      <c r="G20" t="s">
        <v>1</v>
      </c>
    </row>
    <row r="21" spans="2:7" x14ac:dyDescent="0.25">
      <c r="B21" t="s">
        <v>17</v>
      </c>
      <c r="C21" t="s">
        <v>59</v>
      </c>
      <c r="D21">
        <f>2*60+1</f>
        <v>121</v>
      </c>
      <c r="E21" s="2">
        <f t="shared" si="0"/>
        <v>8.4027777777777757E-2</v>
      </c>
      <c r="F21" s="2">
        <v>0.56319444444444444</v>
      </c>
      <c r="G21" t="s">
        <v>1</v>
      </c>
    </row>
    <row r="22" spans="2:7" x14ac:dyDescent="0.25">
      <c r="B22" t="s">
        <v>18</v>
      </c>
      <c r="C22" t="s">
        <v>58</v>
      </c>
      <c r="D22">
        <f>60*2+3</f>
        <v>123</v>
      </c>
      <c r="E22" s="2">
        <f t="shared" si="0"/>
        <v>8.5416666666666641E-2</v>
      </c>
      <c r="F22" s="2">
        <v>0.56458333333333333</v>
      </c>
      <c r="G22" t="s">
        <v>1</v>
      </c>
    </row>
    <row r="23" spans="2:7" x14ac:dyDescent="0.25">
      <c r="B23" t="s">
        <v>19</v>
      </c>
      <c r="C23" t="s">
        <v>60</v>
      </c>
      <c r="D23">
        <f>2*60+28</f>
        <v>148</v>
      </c>
      <c r="E23" s="2">
        <f t="shared" si="0"/>
        <v>0.1027777777777778</v>
      </c>
      <c r="F23" s="2">
        <v>0.58194444444444449</v>
      </c>
      <c r="G23" t="s">
        <v>1</v>
      </c>
    </row>
    <row r="24" spans="2:7" x14ac:dyDescent="0.25">
      <c r="B24" t="s">
        <v>20</v>
      </c>
      <c r="C24" t="s">
        <v>61</v>
      </c>
      <c r="D24">
        <f>2*60+51</f>
        <v>171</v>
      </c>
      <c r="E24" s="2">
        <f t="shared" si="0"/>
        <v>0.11874999999999997</v>
      </c>
      <c r="F24" s="2">
        <v>0.59791666666666665</v>
      </c>
      <c r="G24" t="s">
        <v>1</v>
      </c>
    </row>
    <row r="25" spans="2:7" x14ac:dyDescent="0.25">
      <c r="B25" t="s">
        <v>21</v>
      </c>
      <c r="C25" t="s">
        <v>48</v>
      </c>
      <c r="D25">
        <f>2*60+53</f>
        <v>173</v>
      </c>
      <c r="E25" s="2">
        <f t="shared" si="0"/>
        <v>0.12013888888888885</v>
      </c>
      <c r="F25" s="2">
        <v>0.59930555555555554</v>
      </c>
      <c r="G25" s="1">
        <v>26791</v>
      </c>
    </row>
    <row r="26" spans="2:7" x14ac:dyDescent="0.25">
      <c r="B26" t="s">
        <v>22</v>
      </c>
      <c r="C26" t="s">
        <v>62</v>
      </c>
      <c r="D26">
        <f>3*60+12</f>
        <v>192</v>
      </c>
      <c r="E26" s="2">
        <f t="shared" si="0"/>
        <v>0.13333333333333325</v>
      </c>
      <c r="F26" s="2">
        <v>0.61249999999999993</v>
      </c>
      <c r="G26" t="s">
        <v>1</v>
      </c>
    </row>
    <row r="27" spans="2:7" x14ac:dyDescent="0.25">
      <c r="B27" t="s">
        <v>23</v>
      </c>
      <c r="C27" t="s">
        <v>48</v>
      </c>
      <c r="D27">
        <f>3*60+14</f>
        <v>194</v>
      </c>
      <c r="E27" s="2">
        <f t="shared" si="0"/>
        <v>0.13472222222222213</v>
      </c>
      <c r="F27" s="2">
        <v>0.61388888888888882</v>
      </c>
      <c r="G27" s="1">
        <v>31780</v>
      </c>
    </row>
    <row r="28" spans="2:7" x14ac:dyDescent="0.25">
      <c r="B28" t="s">
        <v>24</v>
      </c>
      <c r="C28" t="s">
        <v>63</v>
      </c>
      <c r="D28">
        <f>3*60+53</f>
        <v>233</v>
      </c>
      <c r="E28" s="2">
        <f t="shared" si="0"/>
        <v>0.16180555555555548</v>
      </c>
      <c r="F28" s="2">
        <v>0.64097222222222217</v>
      </c>
      <c r="G28" s="1">
        <v>24758</v>
      </c>
    </row>
    <row r="29" spans="2:7" x14ac:dyDescent="0.25">
      <c r="B29" t="s">
        <v>25</v>
      </c>
      <c r="C29" t="s">
        <v>64</v>
      </c>
      <c r="D29">
        <f>4*60+36</f>
        <v>276</v>
      </c>
      <c r="E29" s="2">
        <f t="shared" si="0"/>
        <v>0.19166666666666671</v>
      </c>
      <c r="F29" s="2">
        <v>0.67083333333333339</v>
      </c>
      <c r="G29" s="1">
        <v>44280</v>
      </c>
    </row>
    <row r="30" spans="2:7" x14ac:dyDescent="0.25">
      <c r="B30" t="s">
        <v>26</v>
      </c>
      <c r="C30" t="s">
        <v>65</v>
      </c>
      <c r="D30">
        <f>4*60+59</f>
        <v>299</v>
      </c>
      <c r="E30" s="2">
        <f t="shared" si="0"/>
        <v>0.20763888888888887</v>
      </c>
      <c r="F30" s="2">
        <v>0.68680555555555556</v>
      </c>
      <c r="G30" s="1">
        <v>49974</v>
      </c>
    </row>
    <row r="31" spans="2:7" x14ac:dyDescent="0.25">
      <c r="B31" t="s">
        <v>27</v>
      </c>
      <c r="C31" t="s">
        <v>66</v>
      </c>
      <c r="D31">
        <f>5*60+26</f>
        <v>326</v>
      </c>
      <c r="E31" s="2">
        <f t="shared" si="0"/>
        <v>0.22638888888888892</v>
      </c>
      <c r="F31" s="2">
        <v>0.7055555555555556</v>
      </c>
      <c r="G31" s="1">
        <v>60893</v>
      </c>
    </row>
    <row r="32" spans="2:7" x14ac:dyDescent="0.25">
      <c r="B32" t="s">
        <v>28</v>
      </c>
      <c r="C32" t="s">
        <v>67</v>
      </c>
      <c r="D32">
        <f>6*60+23</f>
        <v>383</v>
      </c>
      <c r="E32" s="2">
        <f t="shared" si="0"/>
        <v>0.26597222222222222</v>
      </c>
      <c r="F32" s="2">
        <v>0.74513888888888891</v>
      </c>
      <c r="G32" t="s">
        <v>1</v>
      </c>
    </row>
    <row r="33" spans="2:7" x14ac:dyDescent="0.25">
      <c r="B33" t="s">
        <v>29</v>
      </c>
      <c r="C33" t="s">
        <v>68</v>
      </c>
      <c r="D33">
        <f>8*60+7</f>
        <v>487</v>
      </c>
      <c r="E33" s="2">
        <f t="shared" si="0"/>
        <v>0.33819444444444441</v>
      </c>
      <c r="F33" s="2">
        <v>0.81736111111111109</v>
      </c>
      <c r="G33" s="1">
        <v>111941</v>
      </c>
    </row>
    <row r="34" spans="2:7" x14ac:dyDescent="0.25">
      <c r="B34" t="s">
        <v>30</v>
      </c>
      <c r="C34" t="s">
        <v>45</v>
      </c>
      <c r="E34" s="2"/>
      <c r="G34" s="1">
        <v>205177</v>
      </c>
    </row>
    <row r="35" spans="2:7" x14ac:dyDescent="0.25">
      <c r="B35" t="s">
        <v>31</v>
      </c>
      <c r="C35" t="s">
        <v>46</v>
      </c>
      <c r="E35" s="2"/>
      <c r="G35" s="1">
        <v>220369</v>
      </c>
    </row>
    <row r="36" spans="2:7" x14ac:dyDescent="0.25">
      <c r="B36" t="s">
        <v>32</v>
      </c>
      <c r="C36" t="s">
        <v>47</v>
      </c>
      <c r="E36" s="2"/>
      <c r="G36" s="1">
        <v>253342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38"/>
  <sheetViews>
    <sheetView workbookViewId="0">
      <selection activeCell="G6" sqref="G6:G36"/>
    </sheetView>
  </sheetViews>
  <sheetFormatPr defaultRowHeight="15" x14ac:dyDescent="0.25"/>
  <cols>
    <col min="2" max="2" width="15.7109375" customWidth="1"/>
    <col min="3" max="3" width="15.28515625" customWidth="1"/>
    <col min="4" max="4" width="17" customWidth="1"/>
    <col min="5" max="5" width="14.140625" customWidth="1"/>
    <col min="6" max="6" width="13.7109375" customWidth="1"/>
    <col min="7" max="7" width="12" customWidth="1"/>
  </cols>
  <sheetData>
    <row r="3" spans="2:7" x14ac:dyDescent="0.25">
      <c r="B3" t="s">
        <v>38</v>
      </c>
      <c r="F3" s="2">
        <v>0.47916666666666669</v>
      </c>
    </row>
    <row r="5" spans="2:7" x14ac:dyDescent="0.25">
      <c r="B5" t="s">
        <v>33</v>
      </c>
      <c r="C5" t="s">
        <v>39</v>
      </c>
      <c r="D5" t="s">
        <v>71</v>
      </c>
      <c r="E5" t="s">
        <v>70</v>
      </c>
      <c r="F5" t="s">
        <v>69</v>
      </c>
      <c r="G5" t="s">
        <v>34</v>
      </c>
    </row>
    <row r="6" spans="2:7" x14ac:dyDescent="0.25">
      <c r="B6" t="s">
        <v>0</v>
      </c>
      <c r="C6" t="s">
        <v>40</v>
      </c>
      <c r="F6" s="2">
        <v>0.39166666666666666</v>
      </c>
      <c r="G6" s="1">
        <v>38743</v>
      </c>
    </row>
    <row r="7" spans="2:7" x14ac:dyDescent="0.25">
      <c r="B7" t="s">
        <v>2</v>
      </c>
      <c r="C7" t="s">
        <v>41</v>
      </c>
      <c r="F7" s="2">
        <v>0.39444444444444443</v>
      </c>
      <c r="G7" s="1">
        <v>41768</v>
      </c>
    </row>
    <row r="8" spans="2:7" x14ac:dyDescent="0.25">
      <c r="B8" t="s">
        <v>3</v>
      </c>
      <c r="C8" t="s">
        <v>42</v>
      </c>
      <c r="F8" s="2">
        <v>0.3979166666666667</v>
      </c>
      <c r="G8" s="1">
        <v>45362</v>
      </c>
    </row>
    <row r="9" spans="2:7" x14ac:dyDescent="0.25">
      <c r="B9" t="s">
        <v>4</v>
      </c>
      <c r="C9" t="s">
        <v>43</v>
      </c>
      <c r="F9" s="2">
        <v>0.39930555555555558</v>
      </c>
      <c r="G9" s="1">
        <v>43503</v>
      </c>
    </row>
    <row r="10" spans="2:7" x14ac:dyDescent="0.25">
      <c r="B10" t="s">
        <v>5</v>
      </c>
      <c r="C10" t="s">
        <v>44</v>
      </c>
      <c r="F10" s="2">
        <v>0.40138888888888885</v>
      </c>
      <c r="G10" s="1">
        <v>42796</v>
      </c>
    </row>
    <row r="11" spans="2:7" x14ac:dyDescent="0.25">
      <c r="B11" t="s">
        <v>6</v>
      </c>
      <c r="C11" t="s">
        <v>48</v>
      </c>
      <c r="F11" s="2">
        <v>0.4145833333333333</v>
      </c>
      <c r="G11" s="1">
        <v>2333</v>
      </c>
    </row>
    <row r="12" spans="2:7" x14ac:dyDescent="0.25">
      <c r="B12" t="s">
        <v>7</v>
      </c>
      <c r="C12" t="s">
        <v>49</v>
      </c>
      <c r="F12" s="2">
        <v>0.41597222222222219</v>
      </c>
      <c r="G12" s="1">
        <v>2202</v>
      </c>
    </row>
    <row r="13" spans="2:7" x14ac:dyDescent="0.25">
      <c r="B13" t="s">
        <v>8</v>
      </c>
      <c r="C13" t="s">
        <v>50</v>
      </c>
      <c r="F13" s="2">
        <v>0.41805555555555557</v>
      </c>
      <c r="G13" s="1">
        <v>2205</v>
      </c>
    </row>
    <row r="14" spans="2:7" x14ac:dyDescent="0.25">
      <c r="B14" t="s">
        <v>9</v>
      </c>
      <c r="C14" t="s">
        <v>51</v>
      </c>
      <c r="F14" s="2">
        <v>0.43958333333333338</v>
      </c>
      <c r="G14" s="1">
        <v>2139</v>
      </c>
    </row>
    <row r="15" spans="2:7" x14ac:dyDescent="0.25">
      <c r="B15" t="s">
        <v>10</v>
      </c>
      <c r="C15" t="s">
        <v>52</v>
      </c>
      <c r="F15" s="2">
        <v>0.44097222222222227</v>
      </c>
      <c r="G15" s="1">
        <v>2134</v>
      </c>
    </row>
    <row r="16" spans="2:7" x14ac:dyDescent="0.25">
      <c r="B16" t="s">
        <v>11</v>
      </c>
      <c r="C16" t="s">
        <v>53</v>
      </c>
      <c r="F16" s="2">
        <v>0.46111111111111108</v>
      </c>
      <c r="G16" s="1">
        <v>2177</v>
      </c>
    </row>
    <row r="17" spans="2:7" x14ac:dyDescent="0.25">
      <c r="B17" t="s">
        <v>12</v>
      </c>
      <c r="C17" t="s">
        <v>54</v>
      </c>
      <c r="D17">
        <f>24</f>
        <v>24</v>
      </c>
      <c r="E17" s="2">
        <f t="shared" ref="E17:E34" si="0">F17-$F$4</f>
        <v>0.49583333333333335</v>
      </c>
      <c r="F17" s="2">
        <v>0.49583333333333335</v>
      </c>
      <c r="G17" s="1">
        <v>2155</v>
      </c>
    </row>
    <row r="18" spans="2:7" x14ac:dyDescent="0.25">
      <c r="B18" t="s">
        <v>13</v>
      </c>
      <c r="C18" t="s">
        <v>55</v>
      </c>
      <c r="D18">
        <f>50</f>
        <v>50</v>
      </c>
      <c r="E18" s="2">
        <f t="shared" si="0"/>
        <v>0.51388888888888895</v>
      </c>
      <c r="F18" s="2">
        <v>0.51388888888888895</v>
      </c>
      <c r="G18" s="1">
        <v>2137</v>
      </c>
    </row>
    <row r="19" spans="2:7" x14ac:dyDescent="0.25">
      <c r="B19" t="s">
        <v>14</v>
      </c>
      <c r="C19" t="s">
        <v>56</v>
      </c>
      <c r="D19">
        <f>60*1+14</f>
        <v>74</v>
      </c>
      <c r="E19" s="2">
        <f t="shared" si="0"/>
        <v>0.53055555555555556</v>
      </c>
      <c r="F19" s="2">
        <v>0.53055555555555556</v>
      </c>
      <c r="G19" s="1">
        <v>2138</v>
      </c>
    </row>
    <row r="20" spans="2:7" x14ac:dyDescent="0.25">
      <c r="B20" t="s">
        <v>15</v>
      </c>
      <c r="C20" t="s">
        <v>57</v>
      </c>
      <c r="D20">
        <f>1*60+34</f>
        <v>94</v>
      </c>
      <c r="E20" s="2">
        <f t="shared" si="0"/>
        <v>0.5444444444444444</v>
      </c>
      <c r="F20" s="2">
        <v>0.5444444444444444</v>
      </c>
      <c r="G20" s="1">
        <v>2160</v>
      </c>
    </row>
    <row r="21" spans="2:7" x14ac:dyDescent="0.25">
      <c r="B21" t="s">
        <v>16</v>
      </c>
      <c r="C21" t="s">
        <v>58</v>
      </c>
      <c r="D21">
        <f>1*60+36</f>
        <v>96</v>
      </c>
      <c r="E21" s="2">
        <f t="shared" si="0"/>
        <v>0.54583333333333328</v>
      </c>
      <c r="F21" s="2">
        <v>0.54583333333333328</v>
      </c>
      <c r="G21" s="1">
        <v>1992</v>
      </c>
    </row>
    <row r="22" spans="2:7" x14ac:dyDescent="0.25">
      <c r="B22" t="s">
        <v>17</v>
      </c>
      <c r="C22" t="s">
        <v>59</v>
      </c>
      <c r="D22">
        <f>2*60+1</f>
        <v>121</v>
      </c>
      <c r="E22" s="2">
        <f t="shared" si="0"/>
        <v>0.56319444444444444</v>
      </c>
      <c r="F22" s="2">
        <v>0.56319444444444444</v>
      </c>
      <c r="G22" s="1">
        <v>2201</v>
      </c>
    </row>
    <row r="23" spans="2:7" x14ac:dyDescent="0.25">
      <c r="B23" t="s">
        <v>18</v>
      </c>
      <c r="C23" t="s">
        <v>58</v>
      </c>
      <c r="D23">
        <f>60*2+3</f>
        <v>123</v>
      </c>
      <c r="E23" s="2">
        <f t="shared" si="0"/>
        <v>0.56458333333333333</v>
      </c>
      <c r="F23" s="2">
        <v>0.56458333333333333</v>
      </c>
      <c r="G23" s="1">
        <v>2099</v>
      </c>
    </row>
    <row r="24" spans="2:7" x14ac:dyDescent="0.25">
      <c r="B24" t="s">
        <v>19</v>
      </c>
      <c r="C24" t="s">
        <v>60</v>
      </c>
      <c r="D24">
        <f>2*60+28</f>
        <v>148</v>
      </c>
      <c r="E24" s="2">
        <f t="shared" si="0"/>
        <v>0.58194444444444449</v>
      </c>
      <c r="F24" s="2">
        <v>0.58194444444444449</v>
      </c>
      <c r="G24" s="1">
        <v>2633</v>
      </c>
    </row>
    <row r="25" spans="2:7" x14ac:dyDescent="0.25">
      <c r="B25" t="s">
        <v>20</v>
      </c>
      <c r="C25" t="s">
        <v>61</v>
      </c>
      <c r="D25">
        <f>2*60+51</f>
        <v>171</v>
      </c>
      <c r="E25" s="2">
        <f t="shared" si="0"/>
        <v>0.59791666666666665</v>
      </c>
      <c r="F25" s="2">
        <v>0.59791666666666665</v>
      </c>
      <c r="G25" s="1">
        <v>3195</v>
      </c>
    </row>
    <row r="26" spans="2:7" x14ac:dyDescent="0.25">
      <c r="B26" t="s">
        <v>21</v>
      </c>
      <c r="C26" t="s">
        <v>48</v>
      </c>
      <c r="D26">
        <f>2*60+53</f>
        <v>173</v>
      </c>
      <c r="E26" s="2">
        <f t="shared" si="0"/>
        <v>0.59930555555555554</v>
      </c>
      <c r="F26" s="2">
        <v>0.59930555555555554</v>
      </c>
      <c r="G26" s="1">
        <v>4601</v>
      </c>
    </row>
    <row r="27" spans="2:7" x14ac:dyDescent="0.25">
      <c r="B27" t="s">
        <v>22</v>
      </c>
      <c r="C27" t="s">
        <v>62</v>
      </c>
      <c r="D27">
        <f>3*60+12</f>
        <v>192</v>
      </c>
      <c r="E27" s="2">
        <f t="shared" si="0"/>
        <v>0.61249999999999993</v>
      </c>
      <c r="F27" s="2">
        <v>0.61249999999999993</v>
      </c>
      <c r="G27" s="1">
        <v>3116</v>
      </c>
    </row>
    <row r="28" spans="2:7" x14ac:dyDescent="0.25">
      <c r="B28" t="s">
        <v>23</v>
      </c>
      <c r="C28" t="s">
        <v>48</v>
      </c>
      <c r="D28">
        <f>3*60+14</f>
        <v>194</v>
      </c>
      <c r="E28" s="2">
        <f t="shared" si="0"/>
        <v>0.61388888888888882</v>
      </c>
      <c r="F28" s="2">
        <v>0.61388888888888882</v>
      </c>
      <c r="G28" s="1">
        <v>5122</v>
      </c>
    </row>
    <row r="29" spans="2:7" x14ac:dyDescent="0.25">
      <c r="B29" t="s">
        <v>24</v>
      </c>
      <c r="C29" t="s">
        <v>63</v>
      </c>
      <c r="D29">
        <f>3*60+53</f>
        <v>233</v>
      </c>
      <c r="E29" s="2">
        <f t="shared" si="0"/>
        <v>0.64097222222222217</v>
      </c>
      <c r="F29" s="2">
        <v>0.64097222222222217</v>
      </c>
      <c r="G29" s="1">
        <v>3927</v>
      </c>
    </row>
    <row r="30" spans="2:7" x14ac:dyDescent="0.25">
      <c r="B30" t="s">
        <v>25</v>
      </c>
      <c r="C30" t="s">
        <v>64</v>
      </c>
      <c r="D30">
        <f>4*60+36</f>
        <v>276</v>
      </c>
      <c r="E30" s="2">
        <f t="shared" si="0"/>
        <v>0.67083333333333339</v>
      </c>
      <c r="F30" s="2">
        <v>0.67083333333333339</v>
      </c>
      <c r="G30" s="1">
        <v>6013</v>
      </c>
    </row>
    <row r="31" spans="2:7" x14ac:dyDescent="0.25">
      <c r="B31" t="s">
        <v>26</v>
      </c>
      <c r="C31" t="s">
        <v>65</v>
      </c>
      <c r="D31">
        <f>4*60+59</f>
        <v>299</v>
      </c>
      <c r="E31" s="2">
        <f t="shared" si="0"/>
        <v>0.68680555555555556</v>
      </c>
      <c r="F31" s="2">
        <v>0.68680555555555556</v>
      </c>
      <c r="G31" s="1">
        <v>6452</v>
      </c>
    </row>
    <row r="32" spans="2:7" x14ac:dyDescent="0.25">
      <c r="B32" t="s">
        <v>27</v>
      </c>
      <c r="C32" t="s">
        <v>66</v>
      </c>
      <c r="D32">
        <f>5*60+26</f>
        <v>326</v>
      </c>
      <c r="E32" s="2">
        <f t="shared" si="0"/>
        <v>0.7055555555555556</v>
      </c>
      <c r="F32" s="2">
        <v>0.7055555555555556</v>
      </c>
      <c r="G32" s="1">
        <v>7589</v>
      </c>
    </row>
    <row r="33" spans="2:7" x14ac:dyDescent="0.25">
      <c r="B33" t="s">
        <v>28</v>
      </c>
      <c r="C33" t="s">
        <v>67</v>
      </c>
      <c r="D33">
        <f>6*60+23</f>
        <v>383</v>
      </c>
      <c r="E33" s="2">
        <f t="shared" si="0"/>
        <v>0.74513888888888891</v>
      </c>
      <c r="F33" s="2">
        <v>0.74513888888888891</v>
      </c>
      <c r="G33" s="1">
        <v>9009</v>
      </c>
    </row>
    <row r="34" spans="2:7" x14ac:dyDescent="0.25">
      <c r="B34" t="s">
        <v>29</v>
      </c>
      <c r="C34" t="s">
        <v>68</v>
      </c>
      <c r="D34">
        <f>8*60+7</f>
        <v>487</v>
      </c>
      <c r="E34" s="2">
        <f t="shared" si="0"/>
        <v>0.81736111111111109</v>
      </c>
      <c r="F34" s="2">
        <v>0.81736111111111109</v>
      </c>
      <c r="G34" s="1">
        <v>11629</v>
      </c>
    </row>
    <row r="35" spans="2:7" x14ac:dyDescent="0.25">
      <c r="B35" t="s">
        <v>30</v>
      </c>
      <c r="C35" t="s">
        <v>45</v>
      </c>
      <c r="E35" s="2"/>
      <c r="G35" s="1">
        <v>27994</v>
      </c>
    </row>
    <row r="36" spans="2:7" x14ac:dyDescent="0.25">
      <c r="B36" t="s">
        <v>31</v>
      </c>
      <c r="C36" t="s">
        <v>46</v>
      </c>
      <c r="E36" s="2"/>
      <c r="G36" s="1">
        <v>28437</v>
      </c>
    </row>
    <row r="37" spans="2:7" x14ac:dyDescent="0.25">
      <c r="B37" t="s">
        <v>32</v>
      </c>
      <c r="C37" t="s">
        <v>47</v>
      </c>
      <c r="E37" s="2"/>
    </row>
    <row r="38" spans="2:7" x14ac:dyDescent="0.25">
      <c r="C38" s="1">
        <v>32414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G76"/>
  <sheetViews>
    <sheetView topLeftCell="A40" workbookViewId="0">
      <selection activeCell="G45" sqref="G45:G76"/>
    </sheetView>
  </sheetViews>
  <sheetFormatPr defaultRowHeight="15" x14ac:dyDescent="0.25"/>
  <cols>
    <col min="2" max="3" width="18.28515625" customWidth="1"/>
    <col min="4" max="4" width="17.85546875" customWidth="1"/>
    <col min="5" max="5" width="13.140625" customWidth="1"/>
    <col min="7" max="7" width="16.42578125" customWidth="1"/>
  </cols>
  <sheetData>
    <row r="3" spans="2:7" x14ac:dyDescent="0.25">
      <c r="B3" t="s">
        <v>37</v>
      </c>
      <c r="F3" s="2">
        <v>0.47916666666666669</v>
      </c>
    </row>
    <row r="5" spans="2:7" x14ac:dyDescent="0.25">
      <c r="B5" t="s">
        <v>33</v>
      </c>
      <c r="C5" t="s">
        <v>39</v>
      </c>
      <c r="D5" t="s">
        <v>71</v>
      </c>
      <c r="E5" t="s">
        <v>70</v>
      </c>
      <c r="F5" t="s">
        <v>69</v>
      </c>
      <c r="G5" t="s">
        <v>34</v>
      </c>
    </row>
    <row r="6" spans="2:7" x14ac:dyDescent="0.25">
      <c r="B6" t="s">
        <v>0</v>
      </c>
      <c r="C6" t="s">
        <v>40</v>
      </c>
      <c r="F6" s="2">
        <v>0.39166666666666666</v>
      </c>
      <c r="G6" s="1">
        <v>13558865</v>
      </c>
    </row>
    <row r="7" spans="2:7" x14ac:dyDescent="0.25">
      <c r="B7" t="s">
        <v>2</v>
      </c>
      <c r="C7" t="s">
        <v>41</v>
      </c>
      <c r="F7" s="2">
        <v>0.39444444444444443</v>
      </c>
      <c r="G7" s="1">
        <v>14598976</v>
      </c>
    </row>
    <row r="8" spans="2:7" x14ac:dyDescent="0.25">
      <c r="B8" t="s">
        <v>3</v>
      </c>
      <c r="C8" t="s">
        <v>42</v>
      </c>
      <c r="F8" s="2">
        <v>0.3979166666666667</v>
      </c>
      <c r="G8" s="1">
        <v>14678123</v>
      </c>
    </row>
    <row r="9" spans="2:7" x14ac:dyDescent="0.25">
      <c r="B9" t="s">
        <v>4</v>
      </c>
      <c r="C9" t="s">
        <v>43</v>
      </c>
      <c r="F9" s="2">
        <v>0.39930555555555558</v>
      </c>
      <c r="G9" s="1">
        <v>14330488</v>
      </c>
    </row>
    <row r="10" spans="2:7" x14ac:dyDescent="0.25">
      <c r="B10" t="s">
        <v>5</v>
      </c>
      <c r="C10" t="s">
        <v>44</v>
      </c>
      <c r="F10" s="2">
        <v>0.40138888888888885</v>
      </c>
      <c r="G10" s="1">
        <v>14297503</v>
      </c>
    </row>
    <row r="11" spans="2:7" x14ac:dyDescent="0.25">
      <c r="B11" t="s">
        <v>6</v>
      </c>
      <c r="C11" t="s">
        <v>48</v>
      </c>
      <c r="F11" s="2">
        <v>0.4145833333333333</v>
      </c>
      <c r="G11" s="1">
        <v>850228</v>
      </c>
    </row>
    <row r="12" spans="2:7" x14ac:dyDescent="0.25">
      <c r="B12" t="s">
        <v>7</v>
      </c>
      <c r="C12" t="s">
        <v>49</v>
      </c>
      <c r="F12" s="2">
        <v>0.41597222222222219</v>
      </c>
      <c r="G12" s="1">
        <v>2466266</v>
      </c>
    </row>
    <row r="13" spans="2:7" x14ac:dyDescent="0.25">
      <c r="B13" t="s">
        <v>8</v>
      </c>
      <c r="C13" t="s">
        <v>50</v>
      </c>
      <c r="F13" s="2">
        <v>0.41805555555555557</v>
      </c>
      <c r="G13" s="1">
        <v>1629694</v>
      </c>
    </row>
    <row r="14" spans="2:7" x14ac:dyDescent="0.25">
      <c r="B14" t="s">
        <v>9</v>
      </c>
      <c r="C14" t="s">
        <v>51</v>
      </c>
      <c r="F14" s="2">
        <v>0.43958333333333338</v>
      </c>
      <c r="G14" s="1">
        <v>1010279</v>
      </c>
    </row>
    <row r="15" spans="2:7" x14ac:dyDescent="0.25">
      <c r="B15" t="s">
        <v>10</v>
      </c>
      <c r="C15" t="s">
        <v>52</v>
      </c>
      <c r="F15" s="2">
        <v>0.44097222222222227</v>
      </c>
      <c r="G15" s="1">
        <v>1013199</v>
      </c>
    </row>
    <row r="16" spans="2:7" x14ac:dyDescent="0.25">
      <c r="B16" t="s">
        <v>11</v>
      </c>
      <c r="C16" t="s">
        <v>53</v>
      </c>
      <c r="F16" s="2">
        <v>0.46111111111111108</v>
      </c>
      <c r="G16" s="1">
        <v>1205936</v>
      </c>
    </row>
    <row r="17" spans="2:7" x14ac:dyDescent="0.25">
      <c r="B17" t="s">
        <v>12</v>
      </c>
      <c r="C17" t="s">
        <v>54</v>
      </c>
      <c r="D17">
        <f>24</f>
        <v>24</v>
      </c>
      <c r="E17" s="2">
        <f t="shared" ref="E17:E34" si="0">F17-$F$4</f>
        <v>0.49583333333333335</v>
      </c>
      <c r="F17" s="2">
        <v>0.49583333333333335</v>
      </c>
      <c r="G17" s="1">
        <v>952135</v>
      </c>
    </row>
    <row r="18" spans="2:7" x14ac:dyDescent="0.25">
      <c r="B18" t="s">
        <v>13</v>
      </c>
      <c r="C18" t="s">
        <v>55</v>
      </c>
      <c r="D18">
        <f>50</f>
        <v>50</v>
      </c>
      <c r="E18" s="2">
        <f t="shared" si="0"/>
        <v>0.51388888888888895</v>
      </c>
      <c r="F18" s="2">
        <v>0.51388888888888895</v>
      </c>
      <c r="G18" s="1">
        <v>1104342</v>
      </c>
    </row>
    <row r="19" spans="2:7" x14ac:dyDescent="0.25">
      <c r="B19" t="s">
        <v>14</v>
      </c>
      <c r="C19" t="s">
        <v>56</v>
      </c>
      <c r="D19">
        <f>60*1+14</f>
        <v>74</v>
      </c>
      <c r="E19" s="2">
        <f t="shared" si="0"/>
        <v>0.53055555555555556</v>
      </c>
      <c r="F19" s="2">
        <v>0.53055555555555556</v>
      </c>
      <c r="G19" s="1">
        <v>1282389</v>
      </c>
    </row>
    <row r="20" spans="2:7" x14ac:dyDescent="0.25">
      <c r="B20" t="s">
        <v>15</v>
      </c>
      <c r="C20" t="s">
        <v>57</v>
      </c>
      <c r="D20">
        <f>1*60+34</f>
        <v>94</v>
      </c>
      <c r="E20" s="2">
        <f t="shared" si="0"/>
        <v>0.5444444444444444</v>
      </c>
      <c r="F20" s="2">
        <v>0.5444444444444444</v>
      </c>
      <c r="G20" s="1">
        <v>1173886</v>
      </c>
    </row>
    <row r="21" spans="2:7" x14ac:dyDescent="0.25">
      <c r="B21" t="s">
        <v>16</v>
      </c>
      <c r="C21" t="s">
        <v>58</v>
      </c>
      <c r="D21">
        <f>1*60+36</f>
        <v>96</v>
      </c>
      <c r="E21" s="2">
        <f t="shared" si="0"/>
        <v>0.54583333333333328</v>
      </c>
      <c r="F21" s="2">
        <v>0.54583333333333328</v>
      </c>
      <c r="G21" s="1">
        <v>1198812</v>
      </c>
    </row>
    <row r="22" spans="2:7" x14ac:dyDescent="0.25">
      <c r="B22" t="s">
        <v>17</v>
      </c>
      <c r="C22" t="s">
        <v>59</v>
      </c>
      <c r="D22">
        <f>2*60+1</f>
        <v>121</v>
      </c>
      <c r="E22" s="2">
        <f t="shared" si="0"/>
        <v>0.56319444444444444</v>
      </c>
      <c r="F22" s="2">
        <v>0.56319444444444444</v>
      </c>
      <c r="G22" s="1">
        <v>1819744</v>
      </c>
    </row>
    <row r="23" spans="2:7" x14ac:dyDescent="0.25">
      <c r="B23" t="s">
        <v>18</v>
      </c>
      <c r="C23" t="s">
        <v>58</v>
      </c>
      <c r="D23">
        <f>60*2+3</f>
        <v>123</v>
      </c>
      <c r="E23" s="2">
        <f t="shared" si="0"/>
        <v>0.56458333333333333</v>
      </c>
      <c r="F23" s="2">
        <v>0.56458333333333333</v>
      </c>
      <c r="G23" s="1">
        <v>1407541</v>
      </c>
    </row>
    <row r="24" spans="2:7" x14ac:dyDescent="0.25">
      <c r="B24" t="s">
        <v>19</v>
      </c>
      <c r="C24" t="s">
        <v>60</v>
      </c>
      <c r="D24">
        <f>2*60+28</f>
        <v>148</v>
      </c>
      <c r="E24" s="2">
        <f t="shared" si="0"/>
        <v>0.58194444444444449</v>
      </c>
      <c r="F24" s="2">
        <v>0.58194444444444449</v>
      </c>
      <c r="G24" s="1">
        <v>3276137</v>
      </c>
    </row>
    <row r="25" spans="2:7" x14ac:dyDescent="0.25">
      <c r="B25" t="s">
        <v>20</v>
      </c>
      <c r="C25" t="s">
        <v>61</v>
      </c>
      <c r="D25">
        <f>2*60+51</f>
        <v>171</v>
      </c>
      <c r="E25" s="2">
        <f t="shared" si="0"/>
        <v>0.59791666666666665</v>
      </c>
      <c r="F25" s="2">
        <v>0.59791666666666665</v>
      </c>
      <c r="G25" s="1">
        <v>1574109</v>
      </c>
    </row>
    <row r="26" spans="2:7" x14ac:dyDescent="0.25">
      <c r="B26" t="s">
        <v>21</v>
      </c>
      <c r="C26" t="s">
        <v>48</v>
      </c>
      <c r="D26">
        <f>2*60+53</f>
        <v>173</v>
      </c>
      <c r="E26" s="2">
        <f t="shared" si="0"/>
        <v>0.59930555555555554</v>
      </c>
      <c r="F26" s="2">
        <v>0.59930555555555554</v>
      </c>
      <c r="G26" s="1">
        <v>1747241</v>
      </c>
    </row>
    <row r="27" spans="2:7" x14ac:dyDescent="0.25">
      <c r="B27" t="s">
        <v>22</v>
      </c>
      <c r="C27" t="s">
        <v>62</v>
      </c>
      <c r="D27">
        <f>3*60+12</f>
        <v>192</v>
      </c>
      <c r="E27" s="2">
        <f t="shared" si="0"/>
        <v>0.61249999999999993</v>
      </c>
      <c r="F27" s="2">
        <v>0.61249999999999993</v>
      </c>
      <c r="G27" s="1">
        <v>2357248</v>
      </c>
    </row>
    <row r="28" spans="2:7" x14ac:dyDescent="0.25">
      <c r="B28" t="s">
        <v>23</v>
      </c>
      <c r="C28" t="s">
        <v>48</v>
      </c>
      <c r="D28">
        <f>3*60+14</f>
        <v>194</v>
      </c>
      <c r="E28" s="2">
        <f t="shared" si="0"/>
        <v>0.61388888888888882</v>
      </c>
      <c r="F28" s="2">
        <v>0.61388888888888882</v>
      </c>
      <c r="G28" s="1">
        <v>858820</v>
      </c>
    </row>
    <row r="29" spans="2:7" x14ac:dyDescent="0.25">
      <c r="B29" t="s">
        <v>24</v>
      </c>
      <c r="C29" t="s">
        <v>63</v>
      </c>
      <c r="D29">
        <f>3*60+53</f>
        <v>233</v>
      </c>
      <c r="E29" s="2">
        <f t="shared" si="0"/>
        <v>0.64097222222222217</v>
      </c>
      <c r="F29" s="2">
        <v>0.64097222222222217</v>
      </c>
      <c r="G29" s="1">
        <v>2745758</v>
      </c>
    </row>
    <row r="30" spans="2:7" x14ac:dyDescent="0.25">
      <c r="B30" t="s">
        <v>25</v>
      </c>
      <c r="C30" t="s">
        <v>64</v>
      </c>
      <c r="D30">
        <f>4*60+36</f>
        <v>276</v>
      </c>
      <c r="E30" s="2">
        <f t="shared" si="0"/>
        <v>0.67083333333333339</v>
      </c>
      <c r="F30" s="2">
        <v>0.67083333333333339</v>
      </c>
      <c r="G30" s="1">
        <v>3496061</v>
      </c>
    </row>
    <row r="31" spans="2:7" x14ac:dyDescent="0.25">
      <c r="B31" t="s">
        <v>26</v>
      </c>
      <c r="C31" t="s">
        <v>65</v>
      </c>
      <c r="D31">
        <f>4*60+59</f>
        <v>299</v>
      </c>
      <c r="E31" s="2">
        <f t="shared" si="0"/>
        <v>0.68680555555555556</v>
      </c>
      <c r="F31" s="2">
        <v>0.68680555555555556</v>
      </c>
      <c r="G31" s="1">
        <v>4481813</v>
      </c>
    </row>
    <row r="32" spans="2:7" x14ac:dyDescent="0.25">
      <c r="B32" t="s">
        <v>27</v>
      </c>
      <c r="C32" t="s">
        <v>66</v>
      </c>
      <c r="D32">
        <f>5*60+26</f>
        <v>326</v>
      </c>
      <c r="E32" s="2">
        <f t="shared" si="0"/>
        <v>0.7055555555555556</v>
      </c>
      <c r="F32" s="2">
        <v>0.7055555555555556</v>
      </c>
      <c r="G32" s="1">
        <v>3832659</v>
      </c>
    </row>
    <row r="33" spans="2:7" x14ac:dyDescent="0.25">
      <c r="B33" t="s">
        <v>28</v>
      </c>
      <c r="C33" t="s">
        <v>67</v>
      </c>
      <c r="D33">
        <f>6*60+23</f>
        <v>383</v>
      </c>
      <c r="E33" s="2">
        <f t="shared" si="0"/>
        <v>0.74513888888888891</v>
      </c>
      <c r="F33" s="2">
        <v>0.74513888888888891</v>
      </c>
      <c r="G33" s="1">
        <v>5284747</v>
      </c>
    </row>
    <row r="34" spans="2:7" x14ac:dyDescent="0.25">
      <c r="B34" t="s">
        <v>29</v>
      </c>
      <c r="C34" t="s">
        <v>68</v>
      </c>
      <c r="D34">
        <f>8*60+7</f>
        <v>487</v>
      </c>
      <c r="E34" s="2">
        <f t="shared" si="0"/>
        <v>0.81736111111111109</v>
      </c>
      <c r="F34" s="2">
        <v>0.81736111111111109</v>
      </c>
      <c r="G34" s="1">
        <v>4973506</v>
      </c>
    </row>
    <row r="35" spans="2:7" x14ac:dyDescent="0.25">
      <c r="B35" t="s">
        <v>30</v>
      </c>
      <c r="C35" t="s">
        <v>45</v>
      </c>
      <c r="E35" s="2"/>
      <c r="G35" s="1">
        <v>13244987</v>
      </c>
    </row>
    <row r="36" spans="2:7" x14ac:dyDescent="0.25">
      <c r="B36" t="s">
        <v>31</v>
      </c>
      <c r="C36" t="s">
        <v>46</v>
      </c>
      <c r="E36" s="2"/>
      <c r="G36" s="1">
        <v>13414216</v>
      </c>
    </row>
    <row r="37" spans="2:7" x14ac:dyDescent="0.25">
      <c r="B37" t="s">
        <v>32</v>
      </c>
      <c r="C37" t="s">
        <v>47</v>
      </c>
      <c r="E37" s="2"/>
    </row>
    <row r="43" spans="2:7" x14ac:dyDescent="0.25">
      <c r="B43" t="s">
        <v>36</v>
      </c>
    </row>
    <row r="44" spans="2:7" x14ac:dyDescent="0.25">
      <c r="B44" t="s">
        <v>33</v>
      </c>
      <c r="C44" t="s">
        <v>39</v>
      </c>
      <c r="D44" t="s">
        <v>71</v>
      </c>
      <c r="E44" t="s">
        <v>70</v>
      </c>
      <c r="F44" t="s">
        <v>69</v>
      </c>
    </row>
    <row r="45" spans="2:7" x14ac:dyDescent="0.25">
      <c r="B45" t="s">
        <v>0</v>
      </c>
      <c r="C45" t="s">
        <v>40</v>
      </c>
      <c r="F45" s="2">
        <v>0.39166666666666666</v>
      </c>
      <c r="G45" s="1">
        <v>105872</v>
      </c>
    </row>
    <row r="46" spans="2:7" x14ac:dyDescent="0.25">
      <c r="B46" t="s">
        <v>2</v>
      </c>
      <c r="C46" t="s">
        <v>41</v>
      </c>
      <c r="F46" s="2">
        <v>0.39444444444444443</v>
      </c>
      <c r="G46" s="1">
        <v>138455</v>
      </c>
    </row>
    <row r="47" spans="2:7" x14ac:dyDescent="0.25">
      <c r="B47" t="s">
        <v>3</v>
      </c>
      <c r="C47" t="s">
        <v>42</v>
      </c>
      <c r="F47" s="2">
        <v>0.3979166666666667</v>
      </c>
      <c r="G47" s="1">
        <v>156739</v>
      </c>
    </row>
    <row r="48" spans="2:7" x14ac:dyDescent="0.25">
      <c r="B48" t="s">
        <v>4</v>
      </c>
      <c r="C48" t="s">
        <v>43</v>
      </c>
      <c r="F48" s="2">
        <v>0.39930555555555558</v>
      </c>
      <c r="G48" s="1">
        <v>153577</v>
      </c>
    </row>
    <row r="49" spans="2:7" x14ac:dyDescent="0.25">
      <c r="B49" t="s">
        <v>5</v>
      </c>
      <c r="C49" t="s">
        <v>44</v>
      </c>
      <c r="F49" s="2">
        <v>0.40138888888888885</v>
      </c>
      <c r="G49" s="1">
        <v>155923</v>
      </c>
    </row>
    <row r="50" spans="2:7" x14ac:dyDescent="0.25">
      <c r="B50" t="s">
        <v>6</v>
      </c>
      <c r="C50" t="s">
        <v>48</v>
      </c>
      <c r="F50" s="2">
        <v>0.4145833333333333</v>
      </c>
      <c r="G50" t="s">
        <v>1</v>
      </c>
    </row>
    <row r="51" spans="2:7" x14ac:dyDescent="0.25">
      <c r="B51" t="s">
        <v>7</v>
      </c>
      <c r="C51" t="s">
        <v>49</v>
      </c>
      <c r="F51" s="2">
        <v>0.41597222222222219</v>
      </c>
      <c r="G51" t="s">
        <v>1</v>
      </c>
    </row>
    <row r="52" spans="2:7" x14ac:dyDescent="0.25">
      <c r="B52" t="s">
        <v>8</v>
      </c>
      <c r="C52" t="s">
        <v>50</v>
      </c>
      <c r="F52" s="2">
        <v>0.41805555555555557</v>
      </c>
      <c r="G52" t="s">
        <v>1</v>
      </c>
    </row>
    <row r="53" spans="2:7" x14ac:dyDescent="0.25">
      <c r="B53" t="s">
        <v>9</v>
      </c>
      <c r="C53" t="s">
        <v>51</v>
      </c>
      <c r="F53" s="2">
        <v>0.43958333333333338</v>
      </c>
      <c r="G53" t="s">
        <v>1</v>
      </c>
    </row>
    <row r="54" spans="2:7" x14ac:dyDescent="0.25">
      <c r="B54" t="s">
        <v>10</v>
      </c>
      <c r="C54" t="s">
        <v>52</v>
      </c>
      <c r="F54" s="2">
        <v>0.44097222222222227</v>
      </c>
      <c r="G54" t="s">
        <v>1</v>
      </c>
    </row>
    <row r="55" spans="2:7" x14ac:dyDescent="0.25">
      <c r="B55" t="s">
        <v>11</v>
      </c>
      <c r="C55" t="s">
        <v>53</v>
      </c>
      <c r="F55" s="2">
        <v>0.46111111111111108</v>
      </c>
      <c r="G55" t="s">
        <v>1</v>
      </c>
    </row>
    <row r="56" spans="2:7" x14ac:dyDescent="0.25">
      <c r="B56" t="s">
        <v>12</v>
      </c>
      <c r="C56" t="s">
        <v>54</v>
      </c>
      <c r="D56">
        <f>24</f>
        <v>24</v>
      </c>
      <c r="E56" s="2">
        <f t="shared" ref="E56:E73" si="1">F56-$F$4</f>
        <v>0.49583333333333335</v>
      </c>
      <c r="F56" s="2">
        <v>0.49583333333333335</v>
      </c>
      <c r="G56" t="s">
        <v>1</v>
      </c>
    </row>
    <row r="57" spans="2:7" x14ac:dyDescent="0.25">
      <c r="B57" t="s">
        <v>13</v>
      </c>
      <c r="C57" t="s">
        <v>55</v>
      </c>
      <c r="D57">
        <f>50</f>
        <v>50</v>
      </c>
      <c r="E57" s="2">
        <f t="shared" si="1"/>
        <v>0.51388888888888895</v>
      </c>
      <c r="F57" s="2">
        <v>0.51388888888888895</v>
      </c>
      <c r="G57" t="s">
        <v>1</v>
      </c>
    </row>
    <row r="58" spans="2:7" x14ac:dyDescent="0.25">
      <c r="B58" t="s">
        <v>14</v>
      </c>
      <c r="C58" t="s">
        <v>56</v>
      </c>
      <c r="D58">
        <f>60*1+14</f>
        <v>74</v>
      </c>
      <c r="E58" s="2">
        <f t="shared" si="1"/>
        <v>0.53055555555555556</v>
      </c>
      <c r="F58" s="2">
        <v>0.53055555555555556</v>
      </c>
      <c r="G58" t="s">
        <v>1</v>
      </c>
    </row>
    <row r="59" spans="2:7" x14ac:dyDescent="0.25">
      <c r="B59" t="s">
        <v>15</v>
      </c>
      <c r="C59" t="s">
        <v>57</v>
      </c>
      <c r="D59">
        <f>1*60+34</f>
        <v>94</v>
      </c>
      <c r="E59" s="2">
        <f t="shared" si="1"/>
        <v>0.5444444444444444</v>
      </c>
      <c r="F59" s="2">
        <v>0.5444444444444444</v>
      </c>
      <c r="G59" s="1">
        <v>1711</v>
      </c>
    </row>
    <row r="60" spans="2:7" x14ac:dyDescent="0.25">
      <c r="B60" t="s">
        <v>16</v>
      </c>
      <c r="C60" t="s">
        <v>58</v>
      </c>
      <c r="D60">
        <f>1*60+36</f>
        <v>96</v>
      </c>
      <c r="E60" s="2">
        <f t="shared" si="1"/>
        <v>0.54583333333333328</v>
      </c>
      <c r="F60" s="2">
        <v>0.54583333333333328</v>
      </c>
      <c r="G60" t="s">
        <v>1</v>
      </c>
    </row>
    <row r="61" spans="2:7" x14ac:dyDescent="0.25">
      <c r="B61" t="s">
        <v>17</v>
      </c>
      <c r="C61" t="s">
        <v>59</v>
      </c>
      <c r="D61">
        <f>2*60+1</f>
        <v>121</v>
      </c>
      <c r="E61" s="2">
        <f t="shared" si="1"/>
        <v>0.56319444444444444</v>
      </c>
      <c r="F61" s="2">
        <v>0.56319444444444444</v>
      </c>
      <c r="G61" s="1">
        <v>1674</v>
      </c>
    </row>
    <row r="62" spans="2:7" x14ac:dyDescent="0.25">
      <c r="B62" t="s">
        <v>18</v>
      </c>
      <c r="C62" t="s">
        <v>58</v>
      </c>
      <c r="D62">
        <f>60*2+3</f>
        <v>123</v>
      </c>
      <c r="E62" s="2">
        <f t="shared" si="1"/>
        <v>0.56458333333333333</v>
      </c>
      <c r="F62" s="2">
        <v>0.56458333333333333</v>
      </c>
      <c r="G62" s="1">
        <v>1031</v>
      </c>
    </row>
    <row r="63" spans="2:7" x14ac:dyDescent="0.25">
      <c r="B63" t="s">
        <v>19</v>
      </c>
      <c r="C63" t="s">
        <v>60</v>
      </c>
      <c r="D63">
        <f>2*60+28</f>
        <v>148</v>
      </c>
      <c r="E63" s="2">
        <f t="shared" si="1"/>
        <v>0.58194444444444449</v>
      </c>
      <c r="F63" s="2">
        <v>0.58194444444444449</v>
      </c>
      <c r="G63" s="1">
        <v>7419</v>
      </c>
    </row>
    <row r="64" spans="2:7" x14ac:dyDescent="0.25">
      <c r="B64" t="s">
        <v>20</v>
      </c>
      <c r="C64" t="s">
        <v>61</v>
      </c>
      <c r="D64">
        <f>2*60+51</f>
        <v>171</v>
      </c>
      <c r="E64" s="2">
        <f t="shared" si="1"/>
        <v>0.59791666666666665</v>
      </c>
      <c r="F64" s="2">
        <v>0.59791666666666665</v>
      </c>
      <c r="G64" s="1">
        <v>32994</v>
      </c>
    </row>
    <row r="65" spans="2:7" x14ac:dyDescent="0.25">
      <c r="B65" t="s">
        <v>21</v>
      </c>
      <c r="C65" t="s">
        <v>48</v>
      </c>
      <c r="D65">
        <f>2*60+53</f>
        <v>173</v>
      </c>
      <c r="E65" s="2">
        <f t="shared" si="1"/>
        <v>0.59930555555555554</v>
      </c>
      <c r="F65" s="2">
        <v>0.59930555555555554</v>
      </c>
      <c r="G65" s="1">
        <v>26359</v>
      </c>
    </row>
    <row r="66" spans="2:7" x14ac:dyDescent="0.25">
      <c r="B66" t="s">
        <v>22</v>
      </c>
      <c r="C66" t="s">
        <v>62</v>
      </c>
      <c r="D66">
        <f>3*60+12</f>
        <v>192</v>
      </c>
      <c r="E66" s="2">
        <f t="shared" si="1"/>
        <v>0.61249999999999993</v>
      </c>
      <c r="F66" s="2">
        <v>0.61249999999999993</v>
      </c>
      <c r="G66" s="1">
        <v>15314</v>
      </c>
    </row>
    <row r="67" spans="2:7" x14ac:dyDescent="0.25">
      <c r="B67" t="s">
        <v>23</v>
      </c>
      <c r="C67" t="s">
        <v>48</v>
      </c>
      <c r="D67">
        <f>3*60+14</f>
        <v>194</v>
      </c>
      <c r="E67" s="2">
        <f t="shared" si="1"/>
        <v>0.61388888888888882</v>
      </c>
      <c r="F67" s="2">
        <v>0.61388888888888882</v>
      </c>
      <c r="G67" s="1">
        <v>28330</v>
      </c>
    </row>
    <row r="68" spans="2:7" x14ac:dyDescent="0.25">
      <c r="B68" t="s">
        <v>24</v>
      </c>
      <c r="C68" t="s">
        <v>63</v>
      </c>
      <c r="D68">
        <f>3*60+53</f>
        <v>233</v>
      </c>
      <c r="E68" s="2">
        <f t="shared" si="1"/>
        <v>0.64097222222222217</v>
      </c>
      <c r="F68" s="2">
        <v>0.64097222222222217</v>
      </c>
      <c r="G68" s="1">
        <v>26190</v>
      </c>
    </row>
    <row r="69" spans="2:7" x14ac:dyDescent="0.25">
      <c r="B69" t="s">
        <v>25</v>
      </c>
      <c r="C69" t="s">
        <v>64</v>
      </c>
      <c r="D69">
        <f>4*60+36</f>
        <v>276</v>
      </c>
      <c r="E69" s="2">
        <f t="shared" si="1"/>
        <v>0.67083333333333339</v>
      </c>
      <c r="F69" s="2">
        <v>0.67083333333333339</v>
      </c>
      <c r="G69" s="1">
        <v>45661</v>
      </c>
    </row>
    <row r="70" spans="2:7" x14ac:dyDescent="0.25">
      <c r="B70" t="s">
        <v>26</v>
      </c>
      <c r="C70" t="s">
        <v>65</v>
      </c>
      <c r="D70">
        <f>4*60+59</f>
        <v>299</v>
      </c>
      <c r="E70" s="2">
        <f t="shared" si="1"/>
        <v>0.68680555555555556</v>
      </c>
      <c r="F70" s="2">
        <v>0.68680555555555556</v>
      </c>
      <c r="G70" s="1">
        <v>49334</v>
      </c>
    </row>
    <row r="71" spans="2:7" x14ac:dyDescent="0.25">
      <c r="B71" t="s">
        <v>27</v>
      </c>
      <c r="C71" t="s">
        <v>66</v>
      </c>
      <c r="D71">
        <f>5*60+26</f>
        <v>326</v>
      </c>
      <c r="E71" s="2">
        <f t="shared" si="1"/>
        <v>0.7055555555555556</v>
      </c>
      <c r="F71" s="2">
        <v>0.7055555555555556</v>
      </c>
      <c r="G71" s="1">
        <v>58120</v>
      </c>
    </row>
    <row r="72" spans="2:7" x14ac:dyDescent="0.25">
      <c r="B72" t="s">
        <v>28</v>
      </c>
      <c r="C72" t="s">
        <v>67</v>
      </c>
      <c r="D72">
        <f>6*60+23</f>
        <v>383</v>
      </c>
      <c r="E72" s="2">
        <f t="shared" si="1"/>
        <v>0.74513888888888891</v>
      </c>
      <c r="F72" s="2">
        <v>0.74513888888888891</v>
      </c>
      <c r="G72" s="1">
        <v>66545</v>
      </c>
    </row>
    <row r="73" spans="2:7" x14ac:dyDescent="0.25">
      <c r="B73" t="s">
        <v>29</v>
      </c>
      <c r="C73" t="s">
        <v>68</v>
      </c>
      <c r="D73">
        <f>8*60+7</f>
        <v>487</v>
      </c>
      <c r="E73" s="2">
        <f t="shared" si="1"/>
        <v>0.81736111111111109</v>
      </c>
      <c r="F73" s="2">
        <v>0.81736111111111109</v>
      </c>
      <c r="G73" s="1">
        <v>90196</v>
      </c>
    </row>
    <row r="74" spans="2:7" x14ac:dyDescent="0.25">
      <c r="B74" t="s">
        <v>30</v>
      </c>
      <c r="C74" t="s">
        <v>45</v>
      </c>
      <c r="E74" s="2"/>
      <c r="G74" s="1">
        <v>114371</v>
      </c>
    </row>
    <row r="75" spans="2:7" x14ac:dyDescent="0.25">
      <c r="B75" t="s">
        <v>31</v>
      </c>
      <c r="C75" t="s">
        <v>46</v>
      </c>
      <c r="E75" s="2"/>
      <c r="G75" s="1">
        <v>127131</v>
      </c>
    </row>
    <row r="76" spans="2:7" x14ac:dyDescent="0.25">
      <c r="B76" t="s">
        <v>32</v>
      </c>
      <c r="C76" t="s">
        <v>47</v>
      </c>
      <c r="E76" s="2"/>
      <c r="G76" s="1">
        <v>149057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38E52-5A37-4526-9FFB-7C4083362A52}">
  <dimension ref="B2:BH52"/>
  <sheetViews>
    <sheetView tabSelected="1" topLeftCell="F1" workbookViewId="0">
      <selection activeCell="AC6" sqref="AC6"/>
    </sheetView>
  </sheetViews>
  <sheetFormatPr defaultRowHeight="15" x14ac:dyDescent="0.25"/>
  <cols>
    <col min="1" max="1" width="9.140625" style="10"/>
    <col min="2" max="2" width="23.42578125" style="10" customWidth="1"/>
    <col min="3" max="3" width="20.7109375" style="10" customWidth="1"/>
    <col min="4" max="4" width="18.85546875" style="10" customWidth="1"/>
    <col min="5" max="5" width="15.28515625" style="10" customWidth="1"/>
    <col min="6" max="6" width="9.140625" style="10"/>
    <col min="7" max="7" width="14.28515625" style="10" customWidth="1"/>
    <col min="8" max="8" width="17.140625" style="10" customWidth="1"/>
    <col min="9" max="9" width="26" style="10" customWidth="1"/>
    <col min="10" max="10" width="22.42578125" style="10" customWidth="1"/>
    <col min="11" max="11" width="21.42578125" style="10" customWidth="1"/>
    <col min="12" max="13" width="9.140625" style="10"/>
    <col min="14" max="14" width="13.42578125" style="10" customWidth="1"/>
    <col min="15" max="16" width="9.140625" style="10"/>
    <col min="17" max="17" width="14.28515625" style="10" customWidth="1"/>
    <col min="18" max="18" width="12.42578125" style="10" customWidth="1"/>
    <col min="19" max="19" width="14.42578125" style="10" customWidth="1"/>
    <col min="20" max="21" width="18.42578125" style="10" customWidth="1"/>
    <col min="22" max="22" width="15" style="10" customWidth="1"/>
    <col min="23" max="24" width="14.28515625" style="10" customWidth="1"/>
    <col min="25" max="26" width="18.7109375" style="10" customWidth="1"/>
    <col min="27" max="27" width="16.140625" style="10" customWidth="1"/>
    <col min="28" max="28" width="15" style="10" customWidth="1"/>
    <col min="29" max="29" width="18.7109375" style="10" customWidth="1"/>
    <col min="30" max="31" width="21.7109375" style="10" customWidth="1"/>
    <col min="32" max="32" width="12" style="10" bestFit="1" customWidth="1"/>
    <col min="33" max="33" width="9.140625" style="10"/>
    <col min="34" max="34" width="14.42578125" style="10" customWidth="1"/>
    <col min="35" max="36" width="19" style="10" customWidth="1"/>
    <col min="37" max="37" width="13.7109375" style="10" customWidth="1"/>
    <col min="38" max="38" width="12.42578125" style="10" customWidth="1"/>
    <col min="39" max="39" width="12.7109375" style="10" customWidth="1"/>
    <col min="40" max="41" width="18.28515625" style="10" customWidth="1"/>
    <col min="42" max="43" width="9.140625" style="10"/>
    <col min="44" max="44" width="15.28515625" style="10" customWidth="1"/>
    <col min="45" max="46" width="18.7109375" style="10" customWidth="1"/>
    <col min="47" max="47" width="14.85546875" style="10" customWidth="1"/>
    <col min="48" max="48" width="9.140625" style="10"/>
    <col min="49" max="49" width="14.28515625" style="10" customWidth="1"/>
    <col min="50" max="51" width="18.85546875" style="10" customWidth="1"/>
    <col min="52" max="53" width="9.140625" style="10"/>
    <col min="54" max="54" width="13.42578125" style="10" customWidth="1"/>
    <col min="55" max="58" width="18.140625" style="10" customWidth="1"/>
    <col min="59" max="59" width="16.5703125" style="10" customWidth="1"/>
    <col min="60" max="60" width="19.5703125" style="10" customWidth="1"/>
    <col min="61" max="16384" width="9.140625" style="10"/>
  </cols>
  <sheetData>
    <row r="2" spans="2:60" x14ac:dyDescent="0.25">
      <c r="S2" s="10">
        <v>6.4000000000000001E-2</v>
      </c>
      <c r="X2" s="10">
        <f>S2/1000*1.8084</f>
        <v>1.1573759999999999E-4</v>
      </c>
      <c r="AC2" s="10">
        <f>(S2/1000000)*0.0245*44.01*1000</f>
        <v>6.9007680000000005E-5</v>
      </c>
    </row>
    <row r="3" spans="2:60" x14ac:dyDescent="0.25">
      <c r="B3" s="14"/>
      <c r="C3" s="14"/>
      <c r="D3" s="14"/>
      <c r="E3" s="14"/>
      <c r="F3" s="9">
        <v>0.45277777777777778</v>
      </c>
      <c r="G3" s="9"/>
      <c r="H3" s="9"/>
      <c r="I3" s="9"/>
      <c r="J3" s="9"/>
      <c r="K3" s="9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</row>
    <row r="4" spans="2:60" x14ac:dyDescent="0.25">
      <c r="B4" s="14"/>
      <c r="C4" s="14"/>
      <c r="D4" s="14"/>
      <c r="E4" s="14"/>
      <c r="F4" s="14"/>
      <c r="G4" s="14"/>
      <c r="H4" s="14"/>
      <c r="I4" s="14"/>
      <c r="J4" s="14"/>
      <c r="K4" s="14"/>
      <c r="L4" s="22" t="s">
        <v>72</v>
      </c>
      <c r="M4" s="22"/>
      <c r="N4" s="22"/>
      <c r="O4" s="22"/>
      <c r="P4" s="22"/>
      <c r="Q4" s="22" t="s">
        <v>119</v>
      </c>
      <c r="R4" s="22"/>
      <c r="S4" s="22"/>
      <c r="T4" s="22"/>
      <c r="U4" s="22"/>
      <c r="V4" s="22" t="s">
        <v>80</v>
      </c>
      <c r="W4" s="22"/>
      <c r="X4" s="22"/>
      <c r="Y4" s="22"/>
      <c r="Z4" s="22"/>
      <c r="AA4" s="22" t="s">
        <v>81</v>
      </c>
      <c r="AB4" s="22"/>
      <c r="AC4" s="22"/>
      <c r="AD4" s="22"/>
      <c r="AE4" s="22"/>
      <c r="AF4" s="22" t="s">
        <v>82</v>
      </c>
      <c r="AG4" s="22"/>
      <c r="AH4" s="22"/>
      <c r="AI4" s="22"/>
      <c r="AJ4" s="14"/>
      <c r="AK4" s="22" t="s">
        <v>83</v>
      </c>
      <c r="AL4" s="22"/>
      <c r="AM4" s="22"/>
      <c r="AN4" s="22"/>
      <c r="AO4" s="22"/>
      <c r="AP4" s="22" t="s">
        <v>84</v>
      </c>
      <c r="AQ4" s="22"/>
      <c r="AR4" s="22"/>
      <c r="AS4" s="22"/>
      <c r="AT4" s="22"/>
      <c r="AU4" s="22" t="s">
        <v>85</v>
      </c>
      <c r="AV4" s="22"/>
      <c r="AW4" s="22"/>
      <c r="AX4" s="22"/>
      <c r="AY4" s="22"/>
      <c r="AZ4" s="22" t="s">
        <v>86</v>
      </c>
      <c r="BA4" s="22"/>
      <c r="BB4" s="22"/>
      <c r="BC4" s="22"/>
      <c r="BD4" s="22"/>
      <c r="BE4" s="14"/>
      <c r="BF4" s="14"/>
      <c r="BG4" s="22" t="s">
        <v>87</v>
      </c>
      <c r="BH4" s="22"/>
    </row>
    <row r="5" spans="2:60" x14ac:dyDescent="0.25">
      <c r="B5" s="14" t="s">
        <v>33</v>
      </c>
      <c r="C5" s="14" t="s">
        <v>39</v>
      </c>
      <c r="D5" s="14" t="s">
        <v>71</v>
      </c>
      <c r="E5" s="14" t="s">
        <v>70</v>
      </c>
      <c r="F5" s="14" t="s">
        <v>69</v>
      </c>
      <c r="G5" s="14" t="s">
        <v>73</v>
      </c>
      <c r="H5" s="14" t="s">
        <v>74</v>
      </c>
      <c r="I5" s="14" t="s">
        <v>75</v>
      </c>
      <c r="J5" s="14" t="s">
        <v>76</v>
      </c>
      <c r="K5" s="14" t="s">
        <v>77</v>
      </c>
      <c r="L5" s="14" t="s">
        <v>35</v>
      </c>
      <c r="M5" s="14" t="s">
        <v>38</v>
      </c>
      <c r="N5" s="14" t="s">
        <v>37</v>
      </c>
      <c r="O5" s="14" t="s">
        <v>36</v>
      </c>
      <c r="P5" s="14" t="s">
        <v>118</v>
      </c>
      <c r="Q5" s="14" t="s">
        <v>35</v>
      </c>
      <c r="R5" s="14" t="s">
        <v>38</v>
      </c>
      <c r="S5" s="14" t="s">
        <v>78</v>
      </c>
      <c r="T5" s="14" t="s">
        <v>79</v>
      </c>
      <c r="U5" s="14" t="s">
        <v>118</v>
      </c>
      <c r="V5" s="14" t="s">
        <v>35</v>
      </c>
      <c r="W5" s="14" t="s">
        <v>38</v>
      </c>
      <c r="X5" s="14" t="s">
        <v>78</v>
      </c>
      <c r="Y5" s="14" t="s">
        <v>79</v>
      </c>
      <c r="Z5" s="14" t="s">
        <v>118</v>
      </c>
      <c r="AA5" s="14" t="s">
        <v>35</v>
      </c>
      <c r="AB5" s="14" t="s">
        <v>38</v>
      </c>
      <c r="AC5" s="14" t="s">
        <v>78</v>
      </c>
      <c r="AD5" s="14" t="s">
        <v>79</v>
      </c>
      <c r="AE5" s="14" t="s">
        <v>118</v>
      </c>
      <c r="AF5" s="14" t="s">
        <v>35</v>
      </c>
      <c r="AG5" s="14" t="s">
        <v>38</v>
      </c>
      <c r="AH5" s="14" t="s">
        <v>78</v>
      </c>
      <c r="AI5" s="14" t="s">
        <v>79</v>
      </c>
      <c r="AJ5" s="14" t="s">
        <v>118</v>
      </c>
      <c r="AK5" s="14" t="s">
        <v>35</v>
      </c>
      <c r="AL5" s="14" t="s">
        <v>38</v>
      </c>
      <c r="AM5" s="14" t="s">
        <v>78</v>
      </c>
      <c r="AN5" s="14" t="s">
        <v>79</v>
      </c>
      <c r="AO5" s="14" t="s">
        <v>118</v>
      </c>
      <c r="AP5" s="14" t="s">
        <v>35</v>
      </c>
      <c r="AQ5" s="14" t="s">
        <v>38</v>
      </c>
      <c r="AR5" s="14" t="s">
        <v>78</v>
      </c>
      <c r="AS5" s="14" t="s">
        <v>79</v>
      </c>
      <c r="AT5" s="14" t="s">
        <v>118</v>
      </c>
      <c r="AU5" s="14" t="s">
        <v>35</v>
      </c>
      <c r="AV5" s="14" t="s">
        <v>38</v>
      </c>
      <c r="AW5" s="14" t="s">
        <v>78</v>
      </c>
      <c r="AX5" s="14" t="s">
        <v>79</v>
      </c>
      <c r="AY5" s="14" t="s">
        <v>118</v>
      </c>
      <c r="AZ5" s="14" t="s">
        <v>35</v>
      </c>
      <c r="BA5" s="14" t="s">
        <v>38</v>
      </c>
      <c r="BB5" s="14" t="s">
        <v>78</v>
      </c>
      <c r="BC5" s="14" t="s">
        <v>79</v>
      </c>
      <c r="BD5" s="14" t="s">
        <v>118</v>
      </c>
      <c r="BE5" s="14"/>
      <c r="BF5" s="14"/>
      <c r="BG5" s="10" t="s">
        <v>71</v>
      </c>
      <c r="BH5" s="14" t="s">
        <v>88</v>
      </c>
    </row>
    <row r="6" spans="2:60" s="4" customFormat="1" x14ac:dyDescent="0.25">
      <c r="B6" s="4" t="s">
        <v>89</v>
      </c>
      <c r="C6" s="5" t="s">
        <v>40</v>
      </c>
      <c r="D6" s="5"/>
      <c r="E6" s="5"/>
      <c r="F6" s="7">
        <v>0.42499999999999999</v>
      </c>
      <c r="G6" s="8">
        <v>9.9545999999999992</v>
      </c>
      <c r="H6" s="8">
        <v>19.0214</v>
      </c>
      <c r="I6" s="8">
        <v>14.755800000000001</v>
      </c>
      <c r="J6" s="8">
        <f>H6-I6</f>
        <v>4.2655999999999992</v>
      </c>
      <c r="K6" s="8">
        <f>I6-G6</f>
        <v>4.8012000000000015</v>
      </c>
      <c r="L6" s="13">
        <v>199217</v>
      </c>
      <c r="M6" s="13">
        <v>42172</v>
      </c>
      <c r="N6" s="13">
        <v>5953334</v>
      </c>
      <c r="O6" s="13">
        <v>148448</v>
      </c>
      <c r="P6" s="13">
        <v>2661169</v>
      </c>
      <c r="Q6" s="5">
        <f>(L6+41130)/9817.1</f>
        <v>24.482484644141344</v>
      </c>
      <c r="R6" s="5">
        <f>(M6-895.67)/4.4253</f>
        <v>9327.351817955845</v>
      </c>
      <c r="S6" s="5">
        <f>(N6-135841)/69413</f>
        <v>83.809848299309934</v>
      </c>
      <c r="T6" s="5">
        <f t="shared" ref="T6:T37" si="0">(4*10^-9*O6)+0.0001</f>
        <v>6.9379200000000004E-4</v>
      </c>
      <c r="U6" s="5">
        <f>(P6+4076.7)/5248.6</f>
        <v>507.80126128872462</v>
      </c>
      <c r="V6" s="5">
        <f>Q6/1000*1.2381</f>
        <v>3.0311764237911397E-2</v>
      </c>
      <c r="W6" s="5">
        <f>R6/1000*1.64^-1</f>
        <v>5.6874096450950278</v>
      </c>
      <c r="X6" s="5">
        <f>S6/1000*1.8084</f>
        <v>0.15156172966447207</v>
      </c>
      <c r="Y6" s="5">
        <f>T6/1000*6.0383</f>
        <v>4.1893242336E-6</v>
      </c>
      <c r="Z6" s="5">
        <f>U6/1000*6.57*10^-1</f>
        <v>0.33362542866669209</v>
      </c>
      <c r="AA6" s="5">
        <f>(Q6/1000000)*0.0019*30.07*1000</f>
        <v>1.3987577951737272E-3</v>
      </c>
      <c r="AB6" s="5">
        <f>(R6/1000000)*0.00037*4*1000</f>
        <v>1.380448069057465E-2</v>
      </c>
      <c r="AC6" s="5">
        <f>(S6/1000000)*0.0245*44.01*1000</f>
        <v>9.0367549879489431E-2</v>
      </c>
      <c r="AD6" s="5">
        <f>(T6/1000000)*0.00024*146.06*1000</f>
        <v>2.4320462284800006E-8</v>
      </c>
      <c r="AE6" s="5">
        <f>(U6/1000000)*0.0015*16.04*1000</f>
        <v>1.2217698346606713E-2</v>
      </c>
      <c r="AF6" s="5">
        <f>(V6*J6/1000)+(AA6*K6/1000)</f>
        <v>1.3601357745942293E-4</v>
      </c>
      <c r="AG6" s="5">
        <f>(W6*J6/1000)+(AB6*K6/1000)</f>
        <v>2.4326492654808934E-2</v>
      </c>
      <c r="AH6" s="5">
        <f>(X6*J6/1000)+(AC6*K6/1000)</f>
        <v>1.0803743945381767E-3</v>
      </c>
      <c r="AI6" s="5">
        <f>(Y6*J6/1000)+(AD6*K6/1000)</f>
        <v>1.798674885436594E-8</v>
      </c>
      <c r="AJ6" s="5">
        <f>(Z6*J6/1000)+(AE6*K6/1000)</f>
        <v>1.4817722418223695E-3</v>
      </c>
      <c r="AK6" s="5">
        <f>AF6/K6*1000</f>
        <v>2.8329079700787903E-2</v>
      </c>
      <c r="AL6" s="5">
        <f>AG6/K6*1000</f>
        <v>5.0667526149314606</v>
      </c>
      <c r="AM6" s="5">
        <f>AH6/K6*1000</f>
        <v>0.22502174342626349</v>
      </c>
      <c r="AN6" s="5">
        <f>AI6/K6*1000</f>
        <v>3.746302768967328E-6</v>
      </c>
      <c r="AO6" s="5">
        <f>AJ6/K6*1000</f>
        <v>0.30862539403115241</v>
      </c>
      <c r="AP6" s="5"/>
      <c r="AQ6" s="5"/>
      <c r="AR6" s="5"/>
      <c r="AS6" s="5"/>
      <c r="AT6" s="5"/>
      <c r="BF6" s="5"/>
    </row>
    <row r="7" spans="2:60" s="4" customFormat="1" x14ac:dyDescent="0.25">
      <c r="B7" s="4" t="s">
        <v>90</v>
      </c>
      <c r="C7" s="5" t="s">
        <v>41</v>
      </c>
      <c r="D7" s="5"/>
      <c r="E7" s="5"/>
      <c r="F7" s="7">
        <v>0.42569444444444443</v>
      </c>
      <c r="G7" s="8">
        <v>9.9921000000000006</v>
      </c>
      <c r="H7" s="8">
        <v>18.997399999999999</v>
      </c>
      <c r="I7" s="8">
        <v>15.0381</v>
      </c>
      <c r="J7" s="8">
        <f t="shared" ref="J7:J37" si="1">H7-I7</f>
        <v>3.9592999999999989</v>
      </c>
      <c r="K7" s="8">
        <f t="shared" ref="K7:K37" si="2">I7-G7</f>
        <v>5.0459999999999994</v>
      </c>
      <c r="L7" s="13">
        <v>208146</v>
      </c>
      <c r="M7" s="13">
        <v>40736</v>
      </c>
      <c r="N7" s="13">
        <v>5987509</v>
      </c>
      <c r="O7" s="13">
        <v>152701</v>
      </c>
      <c r="P7" s="13">
        <v>2700612</v>
      </c>
      <c r="Q7" s="5">
        <f t="shared" ref="Q7:Q37" si="3">(L7+41130)/9817.1</f>
        <v>25.392020046653286</v>
      </c>
      <c r="R7" s="5">
        <f t="shared" ref="R7:R37" si="4">(M7-895.67)/4.4253</f>
        <v>9002.8540437936408</v>
      </c>
      <c r="S7" s="5">
        <f t="shared" ref="S7:S37" si="5">(N7-135841)/69413</f>
        <v>84.302191232189941</v>
      </c>
      <c r="T7" s="5">
        <f t="shared" si="0"/>
        <v>7.108040000000001E-4</v>
      </c>
      <c r="U7" s="5">
        <f t="shared" ref="U7:U37" si="6">(P7+4076.7)/5248.6</f>
        <v>515.31621765804209</v>
      </c>
      <c r="V7" s="5">
        <f t="shared" ref="V7:V37" si="7">Q7/1000*1.2381</f>
        <v>3.1437860019761434E-2</v>
      </c>
      <c r="W7" s="5">
        <f t="shared" ref="W7:W37" si="8">R7/1000*1.64^-1</f>
        <v>5.489545148654658</v>
      </c>
      <c r="X7" s="5">
        <f t="shared" ref="X7:X37" si="9">S7/1000*1.8084</f>
        <v>0.1524520826242923</v>
      </c>
      <c r="Y7" s="5">
        <f t="shared" ref="Y7:Y37" si="10">T7/1000*6.0383</f>
        <v>4.2920477932000004E-6</v>
      </c>
      <c r="Z7" s="5">
        <f t="shared" ref="Z7:Z37" si="11">U7/1000*6.57*10^-1</f>
        <v>0.3385627550013337</v>
      </c>
      <c r="AA7" s="5">
        <f t="shared" ref="AA7:AA37" si="12">(Q7/1000000)*0.0019*30.07*1000</f>
        <v>1.4507222813254423E-3</v>
      </c>
      <c r="AB7" s="5">
        <f t="shared" ref="AB7:AB37" si="13">(R7/1000000)*0.00037*4*1000</f>
        <v>1.3324223984814587E-2</v>
      </c>
      <c r="AC7" s="5">
        <f t="shared" ref="AC7:AC37" si="14">(S7/1000000)*0.0245*44.01*1000</f>
        <v>9.0898416185152639E-2</v>
      </c>
      <c r="AD7" s="5">
        <f t="shared" ref="AD7:AD37" si="15">(T7/1000000)*0.00024*146.06*1000</f>
        <v>2.4916807737600005E-8</v>
      </c>
      <c r="AE7" s="5">
        <f t="shared" ref="AE7:AE37" si="16">(U7/1000000)*0.0015*16.04*1000</f>
        <v>1.2398508196852493E-2</v>
      </c>
      <c r="AF7" s="5">
        <f t="shared" ref="AF7:AF37" si="17">(V7*J7/1000)+(AA7*K7/1000)</f>
        <v>1.317922638078096E-4</v>
      </c>
      <c r="AG7" s="5">
        <f t="shared" ref="AG7:AG37" si="18">(W7*J7/1000)+(AB7*K7/1000)</f>
        <v>2.1801990141295757E-2</v>
      </c>
      <c r="AH7" s="5">
        <f t="shared" ref="AH7:AH37" si="19">(X7*J7/1000)+(AC7*K7/1000)</f>
        <v>1.0622769388046404E-3</v>
      </c>
      <c r="AI7" s="5">
        <f t="shared" ref="AI7:AI37" si="20">(Y7*J7/1000)+(AD7*K7/1000)</f>
        <v>1.7119235039460686E-8</v>
      </c>
      <c r="AJ7" s="5">
        <f t="shared" ref="AJ7:AJ37" si="21">(Z7*J7/1000)+(AE7*K7/1000)</f>
        <v>1.4030343882380978E-3</v>
      </c>
      <c r="AK7" s="5">
        <f t="shared" ref="AK7:AK37" si="22">AF7/K7*1000</f>
        <v>2.6118165637695128E-2</v>
      </c>
      <c r="AL7" s="5">
        <f t="shared" ref="AL7:AL37" si="23">AG7/K7*1000</f>
        <v>4.3206480660514783</v>
      </c>
      <c r="AM7" s="5">
        <f t="shared" ref="AM7:AM37" si="24">AH7/K7*1000</f>
        <v>0.21051861648922721</v>
      </c>
      <c r="AN7" s="5">
        <f t="shared" ref="AN7:AN37" si="25">AI7/K7*1000</f>
        <v>3.392634768026296E-6</v>
      </c>
      <c r="AO7" s="5">
        <f t="shared" ref="AO7:AO37" si="26">AJ7/K7*1000</f>
        <v>0.27804882842609946</v>
      </c>
      <c r="AP7" s="5"/>
      <c r="AQ7" s="5"/>
      <c r="AR7" s="5"/>
      <c r="AS7" s="5"/>
      <c r="AT7" s="5"/>
      <c r="BF7" s="5"/>
    </row>
    <row r="8" spans="2:60" s="4" customFormat="1" x14ac:dyDescent="0.25">
      <c r="B8" s="4" t="s">
        <v>91</v>
      </c>
      <c r="C8" s="5" t="s">
        <v>42</v>
      </c>
      <c r="D8" s="5"/>
      <c r="E8" s="5"/>
      <c r="F8" s="7">
        <v>0.42638888888888887</v>
      </c>
      <c r="G8" s="8">
        <v>10.0608</v>
      </c>
      <c r="H8" s="8">
        <v>19.020099999999999</v>
      </c>
      <c r="I8" s="8">
        <v>14.799799999999999</v>
      </c>
      <c r="J8" s="8">
        <f t="shared" si="1"/>
        <v>4.2202999999999999</v>
      </c>
      <c r="K8" s="8">
        <f t="shared" si="2"/>
        <v>4.738999999999999</v>
      </c>
      <c r="L8" s="13">
        <v>191148</v>
      </c>
      <c r="M8" s="13">
        <v>39237</v>
      </c>
      <c r="N8" s="13">
        <v>5749227</v>
      </c>
      <c r="O8" s="13">
        <v>140654</v>
      </c>
      <c r="P8" s="13">
        <v>2533104</v>
      </c>
      <c r="Q8" s="5">
        <f t="shared" si="3"/>
        <v>23.660551486691588</v>
      </c>
      <c r="R8" s="5">
        <f t="shared" si="4"/>
        <v>8664.1199466702819</v>
      </c>
      <c r="S8" s="5">
        <f t="shared" si="5"/>
        <v>80.869376053477012</v>
      </c>
      <c r="T8" s="5">
        <f t="shared" si="0"/>
        <v>6.6261600000000009E-4</v>
      </c>
      <c r="U8" s="5">
        <f t="shared" si="6"/>
        <v>483.40142133140267</v>
      </c>
      <c r="V8" s="5">
        <f t="shared" si="7"/>
        <v>2.9294128795672857E-2</v>
      </c>
      <c r="W8" s="5">
        <f t="shared" si="8"/>
        <v>5.2829999674818788</v>
      </c>
      <c r="X8" s="5">
        <f t="shared" si="9"/>
        <v>0.14624417965510783</v>
      </c>
      <c r="Y8" s="5">
        <f t="shared" si="10"/>
        <v>4.0010741928000007E-6</v>
      </c>
      <c r="Z8" s="5">
        <f t="shared" si="11"/>
        <v>0.31759473381473158</v>
      </c>
      <c r="AA8" s="5">
        <f t="shared" si="12"/>
        <v>1.3517982880891502E-3</v>
      </c>
      <c r="AB8" s="5">
        <f t="shared" si="13"/>
        <v>1.2822897521072017E-2</v>
      </c>
      <c r="AC8" s="5">
        <f t="shared" si="14"/>
        <v>8.7197000382781331E-2</v>
      </c>
      <c r="AD8" s="5">
        <f t="shared" si="15"/>
        <v>2.3227606310400006E-8</v>
      </c>
      <c r="AE8" s="5">
        <f t="shared" si="16"/>
        <v>1.1630638197233549E-2</v>
      </c>
      <c r="AF8" s="5">
        <f t="shared" si="17"/>
        <v>1.3003618384363263E-4</v>
      </c>
      <c r="AG8" s="5">
        <f t="shared" si="18"/>
        <v>2.2356612474116133E-2</v>
      </c>
      <c r="AH8" s="5">
        <f t="shared" si="19"/>
        <v>1.0304208962124521E-3</v>
      </c>
      <c r="AI8" s="5">
        <f t="shared" si="20"/>
        <v>1.6995809042178827E-8</v>
      </c>
      <c r="AJ8" s="5">
        <f t="shared" si="21"/>
        <v>1.3954626495350014E-3</v>
      </c>
      <c r="AK8" s="5">
        <f t="shared" si="22"/>
        <v>2.7439583001399592E-2</v>
      </c>
      <c r="AL8" s="5">
        <f t="shared" si="23"/>
        <v>4.7175801802313009</v>
      </c>
      <c r="AM8" s="5">
        <f t="shared" si="24"/>
        <v>0.21743424693235963</v>
      </c>
      <c r="AN8" s="5">
        <f t="shared" si="25"/>
        <v>3.5863703401938872E-6</v>
      </c>
      <c r="AO8" s="5">
        <f t="shared" si="26"/>
        <v>0.29446352596222869</v>
      </c>
      <c r="AP8" s="5"/>
      <c r="AQ8" s="5"/>
      <c r="AR8" s="5"/>
      <c r="AS8" s="5"/>
      <c r="AT8" s="5"/>
      <c r="BF8" s="5"/>
    </row>
    <row r="9" spans="2:60" x14ac:dyDescent="0.25">
      <c r="B9" s="10" t="s">
        <v>92</v>
      </c>
      <c r="C9" s="14" t="s">
        <v>120</v>
      </c>
      <c r="D9" s="14"/>
      <c r="E9" s="14"/>
      <c r="F9" s="9">
        <v>0.43055555555555558</v>
      </c>
      <c r="G9" s="11">
        <v>10.0402</v>
      </c>
      <c r="H9" s="11">
        <v>18.747699999999998</v>
      </c>
      <c r="I9" s="11">
        <v>14.496600000000001</v>
      </c>
      <c r="J9" s="11">
        <f t="shared" si="1"/>
        <v>4.2510999999999974</v>
      </c>
      <c r="K9" s="11">
        <f t="shared" si="2"/>
        <v>4.4564000000000004</v>
      </c>
      <c r="L9" s="18" t="s">
        <v>1</v>
      </c>
      <c r="M9" s="19" t="s">
        <v>1</v>
      </c>
      <c r="N9" s="20">
        <v>66126</v>
      </c>
      <c r="O9" s="21" t="s">
        <v>1</v>
      </c>
      <c r="P9" s="17">
        <v>9083</v>
      </c>
      <c r="Q9" s="14">
        <v>0</v>
      </c>
      <c r="R9" s="14">
        <v>0</v>
      </c>
      <c r="S9" s="14">
        <f t="shared" si="5"/>
        <v>-1.0043507700286689</v>
      </c>
      <c r="T9" s="14">
        <v>0</v>
      </c>
      <c r="U9" s="14">
        <f t="shared" si="6"/>
        <v>2.5072781313112067</v>
      </c>
      <c r="V9" s="14">
        <f t="shared" si="7"/>
        <v>0</v>
      </c>
      <c r="W9" s="14">
        <f t="shared" si="8"/>
        <v>0</v>
      </c>
      <c r="X9" s="14">
        <f t="shared" si="9"/>
        <v>-1.8162679325198449E-3</v>
      </c>
      <c r="Y9" s="14">
        <f t="shared" si="10"/>
        <v>0</v>
      </c>
      <c r="Z9" s="14">
        <f t="shared" si="11"/>
        <v>1.6472817322714631E-3</v>
      </c>
      <c r="AA9" s="14">
        <f t="shared" si="12"/>
        <v>0</v>
      </c>
      <c r="AB9" s="14">
        <f t="shared" si="13"/>
        <v>0</v>
      </c>
      <c r="AC9" s="14">
        <f t="shared" si="14"/>
        <v>-1.0829361960295622E-3</v>
      </c>
      <c r="AD9" s="14">
        <f t="shared" si="15"/>
        <v>0</v>
      </c>
      <c r="AE9" s="14">
        <f t="shared" si="16"/>
        <v>6.0325111839347627E-5</v>
      </c>
      <c r="AF9" s="14">
        <f t="shared" si="17"/>
        <v>0</v>
      </c>
      <c r="AG9" s="14">
        <f t="shared" si="18"/>
        <v>0</v>
      </c>
      <c r="AH9" s="14">
        <f t="shared" si="19"/>
        <v>-1.254713347192125E-5</v>
      </c>
      <c r="AI9" s="14">
        <f t="shared" si="20"/>
        <v>0</v>
      </c>
      <c r="AJ9" s="14">
        <f t="shared" si="21"/>
        <v>7.2715922004600808E-6</v>
      </c>
      <c r="AK9" s="14">
        <f t="shared" si="22"/>
        <v>0</v>
      </c>
      <c r="AL9" s="14">
        <f t="shared" si="23"/>
        <v>0</v>
      </c>
      <c r="AM9" s="14">
        <f t="shared" si="24"/>
        <v>-2.8155312521140939E-3</v>
      </c>
      <c r="AN9" s="14">
        <f t="shared" si="25"/>
        <v>0</v>
      </c>
      <c r="AO9" s="14">
        <f t="shared" si="26"/>
        <v>1.6317189212054753E-3</v>
      </c>
      <c r="AP9" s="14"/>
      <c r="AQ9" s="14"/>
      <c r="AR9" s="14"/>
      <c r="AS9" s="14"/>
      <c r="AT9" s="14"/>
      <c r="AU9" s="10">
        <f>AVERAGE(AK6:AK8)</f>
        <v>2.7295609446627539E-2</v>
      </c>
      <c r="AV9" s="10">
        <f t="shared" ref="AV9:AY9" si="27">AVERAGE(AL6:AL8)</f>
        <v>4.7016602870714133</v>
      </c>
      <c r="AW9" s="10">
        <f t="shared" si="27"/>
        <v>0.21765820228261679</v>
      </c>
      <c r="AX9" s="10">
        <f t="shared" si="27"/>
        <v>3.5751026257291704E-6</v>
      </c>
      <c r="AY9" s="10">
        <f t="shared" si="27"/>
        <v>0.29371258280649354</v>
      </c>
      <c r="BF9" s="14"/>
      <c r="BH9"/>
    </row>
    <row r="10" spans="2:60" x14ac:dyDescent="0.25">
      <c r="B10" s="10" t="s">
        <v>93</v>
      </c>
      <c r="C10" s="14" t="s">
        <v>48</v>
      </c>
      <c r="D10" s="14"/>
      <c r="E10" s="14"/>
      <c r="F10" s="9">
        <v>0.43124999999999997</v>
      </c>
      <c r="G10" s="11">
        <v>9.9039999999999999</v>
      </c>
      <c r="H10" s="11">
        <v>18.887499999999999</v>
      </c>
      <c r="I10" s="11">
        <v>14.944000000000001</v>
      </c>
      <c r="J10" s="11">
        <f t="shared" si="1"/>
        <v>3.9434999999999985</v>
      </c>
      <c r="K10" s="11">
        <f t="shared" si="2"/>
        <v>5.0400000000000009</v>
      </c>
      <c r="L10" s="18" t="s">
        <v>1</v>
      </c>
      <c r="M10" s="19" t="s">
        <v>1</v>
      </c>
      <c r="N10" s="20">
        <v>60242</v>
      </c>
      <c r="O10" s="21" t="s">
        <v>1</v>
      </c>
      <c r="P10" s="17">
        <v>0</v>
      </c>
      <c r="Q10" s="14">
        <v>0</v>
      </c>
      <c r="R10" s="14">
        <v>0</v>
      </c>
      <c r="S10" s="14">
        <f t="shared" si="5"/>
        <v>-1.0891187529713455</v>
      </c>
      <c r="T10" s="14">
        <v>0</v>
      </c>
      <c r="U10" s="14">
        <f t="shared" si="6"/>
        <v>0.77672141142399864</v>
      </c>
      <c r="V10" s="14">
        <f t="shared" si="7"/>
        <v>0</v>
      </c>
      <c r="W10" s="14">
        <f t="shared" si="8"/>
        <v>0</v>
      </c>
      <c r="X10" s="14">
        <f t="shared" si="9"/>
        <v>-1.9695623528733813E-3</v>
      </c>
      <c r="Y10" s="14">
        <f t="shared" si="10"/>
        <v>0</v>
      </c>
      <c r="Z10" s="14">
        <f t="shared" si="11"/>
        <v>5.1030596730556709E-4</v>
      </c>
      <c r="AA10" s="14">
        <f t="shared" si="12"/>
        <v>0</v>
      </c>
      <c r="AB10" s="14">
        <f t="shared" si="13"/>
        <v>0</v>
      </c>
      <c r="AC10" s="14">
        <f t="shared" si="14"/>
        <v>-1.1743368497975886E-3</v>
      </c>
      <c r="AD10" s="14">
        <f t="shared" si="15"/>
        <v>0</v>
      </c>
      <c r="AE10" s="14">
        <f t="shared" si="16"/>
        <v>1.868791715886141E-5</v>
      </c>
      <c r="AF10" s="14">
        <f t="shared" si="17"/>
        <v>0</v>
      </c>
      <c r="AG10" s="14">
        <f t="shared" si="18"/>
        <v>0</v>
      </c>
      <c r="AH10" s="14">
        <f t="shared" si="19"/>
        <v>-1.3685626861536024E-5</v>
      </c>
      <c r="AI10" s="14">
        <f t="shared" si="20"/>
        <v>0</v>
      </c>
      <c r="AJ10" s="14">
        <f t="shared" si="21"/>
        <v>2.1065786845501645E-6</v>
      </c>
      <c r="AK10" s="14">
        <f t="shared" si="22"/>
        <v>0</v>
      </c>
      <c r="AL10" s="14">
        <f t="shared" si="23"/>
        <v>0</v>
      </c>
      <c r="AM10" s="14">
        <f t="shared" si="24"/>
        <v>-2.7154021550666709E-3</v>
      </c>
      <c r="AN10" s="14">
        <f t="shared" si="25"/>
        <v>0</v>
      </c>
      <c r="AO10" s="14">
        <f t="shared" si="26"/>
        <v>4.1797196122027064E-4</v>
      </c>
      <c r="AP10" s="14"/>
      <c r="AQ10" s="14"/>
      <c r="AR10" s="14"/>
      <c r="AS10" s="14"/>
      <c r="AT10" s="14"/>
      <c r="BF10" s="14"/>
      <c r="BH10"/>
    </row>
    <row r="11" spans="2:60" x14ac:dyDescent="0.25">
      <c r="B11" s="10" t="s">
        <v>94</v>
      </c>
      <c r="C11" s="14" t="s">
        <v>121</v>
      </c>
      <c r="D11" s="14"/>
      <c r="E11" s="14"/>
      <c r="F11" s="9">
        <v>0.43124999999999997</v>
      </c>
      <c r="G11" s="11">
        <v>9.9042999999999992</v>
      </c>
      <c r="H11" s="11">
        <v>18.979600000000001</v>
      </c>
      <c r="I11" s="11">
        <v>15.1701</v>
      </c>
      <c r="J11" s="11">
        <f t="shared" si="1"/>
        <v>3.8095000000000017</v>
      </c>
      <c r="K11" s="11">
        <f t="shared" si="2"/>
        <v>5.2658000000000005</v>
      </c>
      <c r="L11" s="18" t="s">
        <v>1</v>
      </c>
      <c r="M11" s="19" t="s">
        <v>1</v>
      </c>
      <c r="N11" s="20">
        <v>71143</v>
      </c>
      <c r="O11" s="21" t="s">
        <v>1</v>
      </c>
      <c r="P11" s="17">
        <v>7567</v>
      </c>
      <c r="Q11" s="14">
        <v>0</v>
      </c>
      <c r="R11" s="14">
        <v>0</v>
      </c>
      <c r="S11" s="14">
        <f t="shared" si="5"/>
        <v>-0.93207324276432368</v>
      </c>
      <c r="T11" s="14">
        <v>0</v>
      </c>
      <c r="U11" s="14">
        <f t="shared" si="6"/>
        <v>2.2184392028350417</v>
      </c>
      <c r="V11" s="14">
        <f t="shared" si="7"/>
        <v>0</v>
      </c>
      <c r="W11" s="14">
        <f t="shared" si="8"/>
        <v>0</v>
      </c>
      <c r="X11" s="14">
        <f t="shared" si="9"/>
        <v>-1.6855612522150029E-3</v>
      </c>
      <c r="Y11" s="14">
        <f t="shared" si="10"/>
        <v>0</v>
      </c>
      <c r="Z11" s="14">
        <f t="shared" si="11"/>
        <v>1.4575145562626226E-3</v>
      </c>
      <c r="AA11" s="14">
        <f t="shared" si="12"/>
        <v>0</v>
      </c>
      <c r="AB11" s="14">
        <f t="shared" si="13"/>
        <v>0</v>
      </c>
      <c r="AC11" s="14">
        <f t="shared" si="14"/>
        <v>-1.0050033136444181E-3</v>
      </c>
      <c r="AD11" s="14">
        <f t="shared" si="15"/>
        <v>0</v>
      </c>
      <c r="AE11" s="14">
        <f t="shared" si="16"/>
        <v>5.337564722021111E-5</v>
      </c>
      <c r="AF11" s="14">
        <f t="shared" si="17"/>
        <v>0</v>
      </c>
      <c r="AG11" s="14">
        <f t="shared" si="18"/>
        <v>0</v>
      </c>
      <c r="AH11" s="14">
        <f t="shared" si="19"/>
        <v>-1.1713292039301834E-5</v>
      </c>
      <c r="AI11" s="14">
        <f t="shared" si="20"/>
        <v>0</v>
      </c>
      <c r="AJ11" s="14">
        <f t="shared" si="21"/>
        <v>5.8334671852146517E-6</v>
      </c>
      <c r="AK11" s="14">
        <f t="shared" si="22"/>
        <v>0</v>
      </c>
      <c r="AL11" s="14">
        <f t="shared" si="23"/>
        <v>0</v>
      </c>
      <c r="AM11" s="14">
        <f t="shared" si="24"/>
        <v>-2.2244088342325634E-3</v>
      </c>
      <c r="AN11" s="14">
        <f t="shared" si="25"/>
        <v>0</v>
      </c>
      <c r="AO11" s="14">
        <f t="shared" si="26"/>
        <v>1.1078026482613564E-3</v>
      </c>
      <c r="AP11" s="14"/>
      <c r="AQ11" s="14"/>
      <c r="AR11" s="14"/>
      <c r="AS11" s="14"/>
      <c r="AT11" s="14"/>
      <c r="BF11" s="14"/>
      <c r="BH11"/>
    </row>
    <row r="12" spans="2:60" x14ac:dyDescent="0.25">
      <c r="B12" s="10" t="s">
        <v>95</v>
      </c>
      <c r="C12" s="14" t="s">
        <v>117</v>
      </c>
      <c r="D12" s="12">
        <f>E12*1440</f>
        <v>0</v>
      </c>
      <c r="E12" s="9">
        <f t="shared" ref="E12:E16" si="28">F12-$F$3</f>
        <v>0</v>
      </c>
      <c r="F12" s="9">
        <v>0.45277777777777778</v>
      </c>
      <c r="G12" s="11">
        <v>9.9498999999999995</v>
      </c>
      <c r="H12" s="11">
        <v>18.940300000000001</v>
      </c>
      <c r="I12" s="11">
        <v>15.138199999999999</v>
      </c>
      <c r="J12" s="11">
        <f t="shared" si="1"/>
        <v>3.8021000000000011</v>
      </c>
      <c r="K12" s="11">
        <f t="shared" si="2"/>
        <v>5.1882999999999999</v>
      </c>
      <c r="L12" s="18" t="s">
        <v>1</v>
      </c>
      <c r="M12" s="19" t="s">
        <v>1</v>
      </c>
      <c r="N12" s="20">
        <v>60009</v>
      </c>
      <c r="O12" s="21" t="s">
        <v>1</v>
      </c>
      <c r="P12" s="17">
        <v>7965</v>
      </c>
      <c r="Q12" s="14">
        <v>0</v>
      </c>
      <c r="R12" s="14">
        <v>0</v>
      </c>
      <c r="S12" s="14">
        <f t="shared" si="5"/>
        <v>-1.0924754728941264</v>
      </c>
      <c r="T12" s="14">
        <v>0</v>
      </c>
      <c r="U12" s="14">
        <f t="shared" si="6"/>
        <v>2.2942689479099188</v>
      </c>
      <c r="V12" s="14">
        <f t="shared" si="7"/>
        <v>0</v>
      </c>
      <c r="W12" s="14">
        <f t="shared" si="8"/>
        <v>0</v>
      </c>
      <c r="X12" s="14">
        <f t="shared" si="9"/>
        <v>-1.9756326451817381E-3</v>
      </c>
      <c r="Y12" s="14">
        <f t="shared" si="10"/>
        <v>0</v>
      </c>
      <c r="Z12" s="14">
        <f t="shared" si="11"/>
        <v>1.5073346987768167E-3</v>
      </c>
      <c r="AA12" s="14">
        <f t="shared" si="12"/>
        <v>0</v>
      </c>
      <c r="AB12" s="14">
        <f t="shared" si="13"/>
        <v>0</v>
      </c>
      <c r="AC12" s="14">
        <f t="shared" si="14"/>
        <v>-1.1779562162707274E-3</v>
      </c>
      <c r="AD12" s="14">
        <f t="shared" si="15"/>
        <v>0</v>
      </c>
      <c r="AE12" s="14">
        <f t="shared" si="16"/>
        <v>5.5200110886712634E-5</v>
      </c>
      <c r="AF12" s="14">
        <f t="shared" si="17"/>
        <v>0</v>
      </c>
      <c r="AG12" s="14">
        <f t="shared" si="18"/>
        <v>0</v>
      </c>
      <c r="AH12" s="14">
        <f t="shared" si="19"/>
        <v>-1.3623143117122904E-5</v>
      </c>
      <c r="AI12" s="14">
        <f t="shared" si="20"/>
        <v>0</v>
      </c>
      <c r="AJ12" s="14">
        <f t="shared" si="21"/>
        <v>6.0174319935328681E-6</v>
      </c>
      <c r="AK12" s="14">
        <f t="shared" si="22"/>
        <v>0</v>
      </c>
      <c r="AL12" s="14">
        <f t="shared" si="23"/>
        <v>0</v>
      </c>
      <c r="AM12" s="14">
        <f t="shared" si="24"/>
        <v>-2.6257431368893287E-3</v>
      </c>
      <c r="AN12" s="14">
        <f t="shared" si="25"/>
        <v>0</v>
      </c>
      <c r="AO12" s="14">
        <f t="shared" si="26"/>
        <v>1.1598080283585892E-3</v>
      </c>
      <c r="AP12" s="14">
        <f t="shared" ref="AP12:AP13" si="29">AK12-(AVERAGE($AK$9:$AK$11))</f>
        <v>0</v>
      </c>
      <c r="AQ12" s="14">
        <f t="shared" ref="AQ12:AQ37" si="30">IF(AL12-(AVERAGE($AL$9:$AL$11))&lt;0,0,AL12-(AVERAGE($AL$9:$AL$11)))</f>
        <v>0</v>
      </c>
      <c r="AR12" s="14">
        <f t="shared" ref="AR12:AR13" si="31">IF(AM12-(AVERAGE($AM$9:$AM$11))&lt;0,0,AM12-(AVERAGE($AM$9:$AM$11)))</f>
        <v>0</v>
      </c>
      <c r="AS12" s="14">
        <f t="shared" ref="AS12:AS37" si="32">IF(AN12-(AVERAGE($AN$9:$AN$11))&lt;0,0,AN12-(AVERAGE($AN$9:$AN$11)))</f>
        <v>0</v>
      </c>
      <c r="AT12" s="14">
        <f>IF(AO12-(AVERAGE($AO$9:$AO$11))&lt;0,0,AO12-(AVERAGE($AO$9:$AO$11)))</f>
        <v>1.0731018479622151E-4</v>
      </c>
      <c r="AU12" s="10">
        <f>$AU$9+(($AU$21-$AU$9)/($D$21))*D12</f>
        <v>2.7295609446627539E-2</v>
      </c>
      <c r="AV12" s="10">
        <f>$AV$9+(($AV$21-$AV$9)/($D$21))*D12</f>
        <v>4.7016602870714133</v>
      </c>
      <c r="AW12" s="10">
        <f>$AW$9+(($AW$21-$AW$9)/($D$21))*D12</f>
        <v>0.21765820228261679</v>
      </c>
      <c r="AX12" s="10">
        <f>$AX$9+(($AX$21-$AX$9)/($D$21))*D12</f>
        <v>3.5751026257291704E-6</v>
      </c>
      <c r="AY12" s="10">
        <f>$AY$9+(($AY$21-$AY$9)/($D$21))*D12</f>
        <v>0.29371258280649354</v>
      </c>
      <c r="AZ12" s="10">
        <f t="shared" ref="AZ12:AZ16" si="33">AP12/AU12</f>
        <v>0</v>
      </c>
      <c r="BA12" s="10">
        <f t="shared" ref="BA12:BA16" si="34">AQ12/AV12</f>
        <v>0</v>
      </c>
      <c r="BB12" s="10">
        <f t="shared" ref="BB12:BB37" si="35">AR12/AW12</f>
        <v>0</v>
      </c>
      <c r="BC12" s="10">
        <f t="shared" ref="BC12" si="36">AS12/AX12</f>
        <v>0</v>
      </c>
      <c r="BD12" s="10">
        <f t="shared" ref="BD12:BD37" si="37">AT12/AY12</f>
        <v>3.6535780582107579E-4</v>
      </c>
      <c r="BG12" s="12">
        <v>0</v>
      </c>
      <c r="BH12" s="10">
        <v>0</v>
      </c>
    </row>
    <row r="13" spans="2:60" x14ac:dyDescent="0.25">
      <c r="B13" s="10" t="s">
        <v>96</v>
      </c>
      <c r="C13" s="14" t="s">
        <v>117</v>
      </c>
      <c r="D13" s="12">
        <f t="shared" ref="D13:D37" si="38">E13*1440</f>
        <v>19.999999999999929</v>
      </c>
      <c r="E13" s="9">
        <f t="shared" si="28"/>
        <v>1.388888888888884E-2</v>
      </c>
      <c r="F13" s="9">
        <v>0.46666666666666662</v>
      </c>
      <c r="G13" s="11">
        <v>9.8535000000000004</v>
      </c>
      <c r="H13" s="11">
        <v>19.018999999999998</v>
      </c>
      <c r="I13" s="11">
        <v>14.914999999999999</v>
      </c>
      <c r="J13" s="11">
        <f t="shared" si="1"/>
        <v>4.1039999999999992</v>
      </c>
      <c r="K13" s="11">
        <f t="shared" si="2"/>
        <v>5.0614999999999988</v>
      </c>
      <c r="L13" s="18" t="s">
        <v>1</v>
      </c>
      <c r="M13" s="19" t="s">
        <v>1</v>
      </c>
      <c r="N13" s="20">
        <v>60683</v>
      </c>
      <c r="O13" s="21" t="s">
        <v>1</v>
      </c>
      <c r="P13" s="17">
        <v>9841</v>
      </c>
      <c r="Q13" s="14">
        <v>0</v>
      </c>
      <c r="R13" s="14">
        <v>0</v>
      </c>
      <c r="S13" s="14">
        <f t="shared" si="5"/>
        <v>-1.0827654762076269</v>
      </c>
      <c r="T13" s="14">
        <v>0</v>
      </c>
      <c r="U13" s="14">
        <f t="shared" si="6"/>
        <v>2.6516975955492894</v>
      </c>
      <c r="V13" s="14">
        <f t="shared" si="7"/>
        <v>0</v>
      </c>
      <c r="W13" s="14">
        <f t="shared" si="8"/>
        <v>0</v>
      </c>
      <c r="X13" s="14">
        <f t="shared" si="9"/>
        <v>-1.9580730871738721E-3</v>
      </c>
      <c r="Y13" s="14">
        <f t="shared" si="10"/>
        <v>0</v>
      </c>
      <c r="Z13" s="14">
        <f t="shared" si="11"/>
        <v>1.7421653202758835E-3</v>
      </c>
      <c r="AA13" s="14">
        <f t="shared" si="12"/>
        <v>0</v>
      </c>
      <c r="AB13" s="14">
        <f t="shared" si="13"/>
        <v>0</v>
      </c>
      <c r="AC13" s="14">
        <f t="shared" si="14"/>
        <v>-1.1674864608934926E-3</v>
      </c>
      <c r="AD13" s="14">
        <f t="shared" si="15"/>
        <v>0</v>
      </c>
      <c r="AE13" s="14">
        <f t="shared" si="16"/>
        <v>6.3799844148915906E-5</v>
      </c>
      <c r="AF13" s="14">
        <f t="shared" si="17"/>
        <v>0</v>
      </c>
      <c r="AG13" s="14">
        <f t="shared" si="18"/>
        <v>0</v>
      </c>
      <c r="AH13" s="14">
        <f t="shared" si="19"/>
        <v>-1.394516467157398E-5</v>
      </c>
      <c r="AI13" s="14">
        <f t="shared" si="20"/>
        <v>0</v>
      </c>
      <c r="AJ13" s="14">
        <f t="shared" si="21"/>
        <v>7.4727693855719616E-6</v>
      </c>
      <c r="AK13" s="14">
        <f t="shared" si="22"/>
        <v>0</v>
      </c>
      <c r="AL13" s="14">
        <f t="shared" si="23"/>
        <v>0</v>
      </c>
      <c r="AM13" s="14">
        <f t="shared" si="24"/>
        <v>-2.7551446550575886E-3</v>
      </c>
      <c r="AN13" s="14">
        <f t="shared" si="25"/>
        <v>0</v>
      </c>
      <c r="AO13" s="14">
        <f t="shared" si="26"/>
        <v>1.4763942281086563E-3</v>
      </c>
      <c r="AP13" s="14">
        <f t="shared" si="29"/>
        <v>0</v>
      </c>
      <c r="AQ13" s="14">
        <f t="shared" si="30"/>
        <v>0</v>
      </c>
      <c r="AR13" s="14">
        <f t="shared" si="31"/>
        <v>0</v>
      </c>
      <c r="AS13" s="14">
        <f t="shared" si="32"/>
        <v>0</v>
      </c>
      <c r="AT13" s="14">
        <f t="shared" ref="AT13:AT19" si="39">IF(AO13-(AVERAGE($AO$9:$AO$11))&lt;0,0,AO13-(AVERAGE($AO$9:$AO$11)))</f>
        <v>4.2389638454628869E-4</v>
      </c>
      <c r="AU13" s="10">
        <f t="shared" ref="AU13:AU20" si="40">$AU$9+(($AU$21-$AU$9)/($D$21))*D13</f>
        <v>2.6703984238311232E-2</v>
      </c>
      <c r="AV13" s="10">
        <f t="shared" ref="AV13:AV20" si="41">$AV$9+(($AV$21-$AV$9)/($D$21))*D13</f>
        <v>4.5395861038232663</v>
      </c>
      <c r="AW13" s="10">
        <f t="shared" ref="AW13:AW20" si="42">$AW$9+(($AW$21-$AW$9)/($D$21))*D13</f>
        <v>0.21510740292472327</v>
      </c>
      <c r="AX13" s="10">
        <f t="shared" ref="AX13:AX20" si="43">$AX$9+(($AX$21-$AX$9)/($D$21))*D13</f>
        <v>3.5604334486781693E-6</v>
      </c>
      <c r="AY13" s="10">
        <f t="shared" ref="AY13:AY20" si="44">$AY$9+(($AY$21-$AY$9)/($D$21))*D13</f>
        <v>0.29022450660320681</v>
      </c>
      <c r="AZ13" s="10">
        <f t="shared" si="33"/>
        <v>0</v>
      </c>
      <c r="BA13" s="10">
        <f t="shared" si="34"/>
        <v>0</v>
      </c>
      <c r="BB13" s="10">
        <f t="shared" si="35"/>
        <v>0</v>
      </c>
      <c r="BC13" s="10">
        <f t="shared" ref="BC13:BC28" si="45">AS13/AX13</f>
        <v>0</v>
      </c>
      <c r="BD13" s="10">
        <f t="shared" si="37"/>
        <v>1.4605809464802958E-3</v>
      </c>
      <c r="BF13" s="14"/>
      <c r="BG13" s="11">
        <v>10</v>
      </c>
      <c r="BH13" s="10">
        <v>0</v>
      </c>
    </row>
    <row r="14" spans="2:60" x14ac:dyDescent="0.25">
      <c r="B14" s="10" t="s">
        <v>97</v>
      </c>
      <c r="C14" s="14" t="s">
        <v>117</v>
      </c>
      <c r="D14" s="12">
        <f t="shared" si="38"/>
        <v>40.000000000000014</v>
      </c>
      <c r="E14" s="9">
        <f t="shared" si="28"/>
        <v>2.777777777777779E-2</v>
      </c>
      <c r="F14" s="9">
        <v>0.48055555555555557</v>
      </c>
      <c r="G14" s="11">
        <v>9.7718000000000007</v>
      </c>
      <c r="H14" s="11">
        <v>18.892099999999999</v>
      </c>
      <c r="I14" s="11">
        <v>14.6731</v>
      </c>
      <c r="J14" s="11">
        <f t="shared" si="1"/>
        <v>4.2189999999999994</v>
      </c>
      <c r="K14" s="11">
        <f t="shared" si="2"/>
        <v>4.9012999999999991</v>
      </c>
      <c r="L14" s="18" t="s">
        <v>1</v>
      </c>
      <c r="M14" s="19" t="s">
        <v>1</v>
      </c>
      <c r="N14" s="20">
        <v>543961</v>
      </c>
      <c r="O14" s="21" t="s">
        <v>1</v>
      </c>
      <c r="P14" s="17">
        <v>125900</v>
      </c>
      <c r="Q14" s="14">
        <v>0</v>
      </c>
      <c r="R14" s="14">
        <v>0</v>
      </c>
      <c r="S14" s="14">
        <f t="shared" si="5"/>
        <v>5.8795902784780951</v>
      </c>
      <c r="T14" s="14">
        <v>0</v>
      </c>
      <c r="U14" s="14">
        <f t="shared" si="6"/>
        <v>24.764070418778338</v>
      </c>
      <c r="V14" s="14">
        <f t="shared" si="7"/>
        <v>0</v>
      </c>
      <c r="W14" s="14">
        <f t="shared" si="8"/>
        <v>0</v>
      </c>
      <c r="X14" s="14">
        <f t="shared" si="9"/>
        <v>1.0632651059599787E-2</v>
      </c>
      <c r="Y14" s="14">
        <f t="shared" si="10"/>
        <v>0</v>
      </c>
      <c r="Z14" s="14">
        <f t="shared" si="11"/>
        <v>1.626999426513737E-2</v>
      </c>
      <c r="AA14" s="14">
        <f t="shared" si="12"/>
        <v>0</v>
      </c>
      <c r="AB14" s="14">
        <f t="shared" si="13"/>
        <v>0</v>
      </c>
      <c r="AC14" s="14">
        <f t="shared" si="14"/>
        <v>6.3396388198176147E-3</v>
      </c>
      <c r="AD14" s="14">
        <f t="shared" si="15"/>
        <v>0</v>
      </c>
      <c r="AE14" s="14">
        <f t="shared" si="16"/>
        <v>5.9582353427580675E-4</v>
      </c>
      <c r="AF14" s="14">
        <f t="shared" si="17"/>
        <v>0</v>
      </c>
      <c r="AG14" s="14">
        <f t="shared" si="18"/>
        <v>0</v>
      </c>
      <c r="AH14" s="14">
        <f t="shared" si="19"/>
        <v>7.5931626568023568E-5</v>
      </c>
      <c r="AI14" s="14">
        <f t="shared" si="20"/>
        <v>0</v>
      </c>
      <c r="AJ14" s="14">
        <f t="shared" si="21"/>
        <v>7.1563415693160564E-5</v>
      </c>
      <c r="AK14" s="14">
        <f t="shared" si="22"/>
        <v>0</v>
      </c>
      <c r="AL14" s="14">
        <f t="shared" si="23"/>
        <v>0</v>
      </c>
      <c r="AM14" s="14">
        <f t="shared" si="24"/>
        <v>1.5492140160370428E-2</v>
      </c>
      <c r="AN14" s="14">
        <f t="shared" si="25"/>
        <v>0</v>
      </c>
      <c r="AO14" s="14">
        <f t="shared" si="26"/>
        <v>1.4600905003399216E-2</v>
      </c>
      <c r="AP14" s="14">
        <f>AK14-(AVERAGE($AK$9:$AK$11))</f>
        <v>0</v>
      </c>
      <c r="AQ14" s="14">
        <f>IF(AL14-(AVERAGE($AL$9:$AL$11))&lt;0,0,AL14-(AVERAGE($AL$9:$AL$11)))</f>
        <v>0</v>
      </c>
      <c r="AR14" s="14">
        <f>IF(AM14-(AVERAGE($AM$9:$AM$11))&lt;0,0,AM14-(AVERAGE($AM$9:$AM$11)))</f>
        <v>1.8077254240841539E-2</v>
      </c>
      <c r="AS14" s="14">
        <f>IF(AN14-(AVERAGE($AN$9:$AN$11))&lt;0,0,AN14-(AVERAGE($AN$9:$AN$11)))</f>
        <v>0</v>
      </c>
      <c r="AT14" s="14">
        <f t="shared" si="39"/>
        <v>1.3548407159836849E-2</v>
      </c>
      <c r="AU14" s="10">
        <f t="shared" si="40"/>
        <v>2.6112359029994918E-2</v>
      </c>
      <c r="AV14" s="10">
        <f t="shared" si="41"/>
        <v>4.3775119205751176</v>
      </c>
      <c r="AW14" s="10">
        <f t="shared" si="42"/>
        <v>0.21255660356682973</v>
      </c>
      <c r="AX14" s="10">
        <f t="shared" si="43"/>
        <v>3.5457642716271687E-6</v>
      </c>
      <c r="AY14" s="10">
        <f t="shared" si="44"/>
        <v>0.28673643039992003</v>
      </c>
      <c r="AZ14" s="10">
        <f t="shared" si="33"/>
        <v>0</v>
      </c>
      <c r="BA14" s="10">
        <f t="shared" si="34"/>
        <v>0</v>
      </c>
      <c r="BB14" s="10">
        <f t="shared" si="35"/>
        <v>8.5046777834676332E-2</v>
      </c>
      <c r="BC14" s="10">
        <f t="shared" si="45"/>
        <v>0</v>
      </c>
      <c r="BD14" s="10">
        <f t="shared" si="37"/>
        <v>4.725038649933834E-2</v>
      </c>
      <c r="BG14" s="12">
        <v>19.999999999999929</v>
      </c>
      <c r="BH14" s="10">
        <v>0</v>
      </c>
    </row>
    <row r="15" spans="2:60" x14ac:dyDescent="0.25">
      <c r="B15" s="10" t="s">
        <v>98</v>
      </c>
      <c r="C15" s="14" t="s">
        <v>117</v>
      </c>
      <c r="D15" s="12">
        <f t="shared" si="38"/>
        <v>60.000000000000028</v>
      </c>
      <c r="E15" s="9">
        <f t="shared" si="28"/>
        <v>4.1666666666666685E-2</v>
      </c>
      <c r="F15" s="9">
        <v>0.49444444444444446</v>
      </c>
      <c r="G15" s="11">
        <v>9.8507999999999996</v>
      </c>
      <c r="H15" s="11">
        <v>18.977799999999998</v>
      </c>
      <c r="I15" s="11">
        <v>14.8497</v>
      </c>
      <c r="J15" s="11">
        <f t="shared" si="1"/>
        <v>4.1280999999999981</v>
      </c>
      <c r="K15" s="11">
        <f t="shared" si="2"/>
        <v>4.9989000000000008</v>
      </c>
      <c r="L15" s="18">
        <v>25957</v>
      </c>
      <c r="M15" s="19">
        <v>2848</v>
      </c>
      <c r="N15" s="20">
        <v>1690597</v>
      </c>
      <c r="O15" s="21">
        <v>24380</v>
      </c>
      <c r="P15" s="17">
        <v>494526</v>
      </c>
      <c r="Q15" s="14">
        <v>0</v>
      </c>
      <c r="R15" s="14">
        <f t="shared" si="4"/>
        <v>441.17460963098546</v>
      </c>
      <c r="S15" s="14">
        <f t="shared" si="5"/>
        <v>22.39862849898434</v>
      </c>
      <c r="T15" s="14">
        <f t="shared" si="0"/>
        <v>1.9752000000000002E-4</v>
      </c>
      <c r="U15" s="14">
        <f t="shared" si="6"/>
        <v>94.997275463933235</v>
      </c>
      <c r="V15" s="14">
        <f t="shared" si="7"/>
        <v>0</v>
      </c>
      <c r="W15" s="14">
        <f t="shared" si="8"/>
        <v>0.26900890831157653</v>
      </c>
      <c r="X15" s="14">
        <f t="shared" si="9"/>
        <v>4.050567977756328E-2</v>
      </c>
      <c r="Y15" s="14">
        <f t="shared" si="10"/>
        <v>1.1926850159999999E-6</v>
      </c>
      <c r="Z15" s="14">
        <f t="shared" si="11"/>
        <v>6.2413209979804145E-2</v>
      </c>
      <c r="AA15" s="14">
        <f t="shared" si="12"/>
        <v>0</v>
      </c>
      <c r="AB15" s="14">
        <f t="shared" si="13"/>
        <v>6.5293842225385844E-4</v>
      </c>
      <c r="AC15" s="14">
        <f t="shared" si="14"/>
        <v>2.4151209185887371E-2</v>
      </c>
      <c r="AD15" s="14">
        <f t="shared" si="15"/>
        <v>6.9239450880000019E-9</v>
      </c>
      <c r="AE15" s="14">
        <f t="shared" si="16"/>
        <v>2.2856344476622336E-3</v>
      </c>
      <c r="AF15" s="14">
        <f t="shared" si="17"/>
        <v>0</v>
      </c>
      <c r="AG15" s="14">
        <f t="shared" si="18"/>
        <v>1.1137596482800234E-3</v>
      </c>
      <c r="AH15" s="14">
        <f t="shared" si="19"/>
        <v>2.8794097628909133E-4</v>
      </c>
      <c r="AI15" s="14">
        <f t="shared" si="20"/>
        <v>4.9581351236500008E-9</v>
      </c>
      <c r="AJ15" s="14">
        <f t="shared" si="21"/>
        <v>2.6907363015804807E-4</v>
      </c>
      <c r="AK15" s="14">
        <f t="shared" si="22"/>
        <v>0</v>
      </c>
      <c r="AL15" s="14">
        <f t="shared" si="23"/>
        <v>0.22280094586409474</v>
      </c>
      <c r="AM15" s="14">
        <f t="shared" si="24"/>
        <v>5.7600867448656966E-2</v>
      </c>
      <c r="AN15" s="14">
        <f t="shared" si="25"/>
        <v>9.9184523068074972E-7</v>
      </c>
      <c r="AO15" s="14">
        <f t="shared" si="26"/>
        <v>5.3826567876542442E-2</v>
      </c>
      <c r="AP15" s="14">
        <f t="shared" ref="AP15:AP37" si="46">AK15-(AVERAGE($AK$11:$AK$13))</f>
        <v>0</v>
      </c>
      <c r="AQ15" s="14">
        <f t="shared" si="30"/>
        <v>0.22280094586409474</v>
      </c>
      <c r="AR15" s="14">
        <f t="shared" ref="AR15:AR37" si="47">IF(AM15-(AVERAGE($AM$9:$AM$11))&lt;0,0,AM15-(AVERAGE($AM$9:$AM$11)))</f>
        <v>6.0185981529128074E-2</v>
      </c>
      <c r="AS15" s="14">
        <f t="shared" si="32"/>
        <v>9.9184523068074972E-7</v>
      </c>
      <c r="AT15" s="14">
        <f t="shared" si="39"/>
        <v>5.2774070032980076E-2</v>
      </c>
      <c r="AU15" s="10">
        <f t="shared" si="40"/>
        <v>2.5520733821678607E-2</v>
      </c>
      <c r="AV15" s="10">
        <f t="shared" si="41"/>
        <v>4.2154377373269689</v>
      </c>
      <c r="AW15" s="10">
        <f t="shared" si="42"/>
        <v>0.21000580420893619</v>
      </c>
      <c r="AX15" s="10">
        <f t="shared" si="43"/>
        <v>3.5310950945761676E-6</v>
      </c>
      <c r="AY15" s="10">
        <f t="shared" si="44"/>
        <v>0.28324835419663325</v>
      </c>
      <c r="AZ15" s="10">
        <f t="shared" si="33"/>
        <v>0</v>
      </c>
      <c r="BA15" s="10">
        <f t="shared" si="34"/>
        <v>5.2853572925827146E-2</v>
      </c>
      <c r="BB15" s="10">
        <f t="shared" si="35"/>
        <v>0.28659199090158782</v>
      </c>
      <c r="BC15" s="10">
        <f t="shared" si="45"/>
        <v>0.28088884725994601</v>
      </c>
      <c r="BD15" s="10">
        <f t="shared" si="37"/>
        <v>0.18631730511783981</v>
      </c>
      <c r="BF15" s="14"/>
      <c r="BG15" s="11">
        <v>30</v>
      </c>
      <c r="BH15" s="10">
        <v>0.21066371270101938</v>
      </c>
    </row>
    <row r="16" spans="2:60" x14ac:dyDescent="0.25">
      <c r="B16" s="10" t="s">
        <v>99</v>
      </c>
      <c r="C16" s="14" t="s">
        <v>117</v>
      </c>
      <c r="D16" s="12">
        <f t="shared" si="38"/>
        <v>80.999999999999957</v>
      </c>
      <c r="E16" s="9">
        <f t="shared" si="28"/>
        <v>5.6249999999999967E-2</v>
      </c>
      <c r="F16" s="9">
        <v>0.50902777777777775</v>
      </c>
      <c r="G16" s="11">
        <v>9.9160000000000004</v>
      </c>
      <c r="H16" s="11">
        <v>19.046299999999999</v>
      </c>
      <c r="I16" s="11">
        <v>14.894600000000001</v>
      </c>
      <c r="J16" s="11">
        <f t="shared" si="1"/>
        <v>4.1516999999999982</v>
      </c>
      <c r="K16" s="11">
        <f t="shared" si="2"/>
        <v>4.9786000000000001</v>
      </c>
      <c r="L16" s="18">
        <v>42292</v>
      </c>
      <c r="M16" s="19">
        <v>4696</v>
      </c>
      <c r="N16" s="20">
        <v>2641032</v>
      </c>
      <c r="O16" s="21">
        <v>51009</v>
      </c>
      <c r="P16" s="17">
        <v>806076</v>
      </c>
      <c r="Q16" s="14">
        <f t="shared" si="3"/>
        <v>8.497621497183486</v>
      </c>
      <c r="R16" s="14">
        <f t="shared" si="4"/>
        <v>858.77341649153732</v>
      </c>
      <c r="S16" s="14">
        <f t="shared" si="5"/>
        <v>36.09109244665985</v>
      </c>
      <c r="T16" s="14">
        <f t="shared" si="0"/>
        <v>3.0403600000000004E-4</v>
      </c>
      <c r="U16" s="14">
        <f t="shared" si="6"/>
        <v>154.35596158975724</v>
      </c>
      <c r="V16" s="14">
        <f t="shared" si="7"/>
        <v>1.0520905175662874E-2</v>
      </c>
      <c r="W16" s="14">
        <f t="shared" si="8"/>
        <v>0.52364232712898617</v>
      </c>
      <c r="X16" s="14">
        <f t="shared" si="9"/>
        <v>6.5267131580539678E-2</v>
      </c>
      <c r="Y16" s="14">
        <f t="shared" si="10"/>
        <v>1.8358605788000002E-6</v>
      </c>
      <c r="Z16" s="14">
        <f t="shared" si="11"/>
        <v>0.1014118667644705</v>
      </c>
      <c r="AA16" s="14">
        <f t="shared" si="12"/>
        <v>4.8549460899858404E-4</v>
      </c>
      <c r="AB16" s="14">
        <f t="shared" si="13"/>
        <v>1.2709846564074752E-3</v>
      </c>
      <c r="AC16" s="14">
        <f t="shared" si="14"/>
        <v>3.8915039975148745E-2</v>
      </c>
      <c r="AD16" s="14">
        <f t="shared" si="15"/>
        <v>1.0657799558400001E-8</v>
      </c>
      <c r="AE16" s="14">
        <f t="shared" si="16"/>
        <v>3.7138044358495589E-3</v>
      </c>
      <c r="AF16" s="14">
        <f t="shared" si="17"/>
        <v>4.6096725478159881E-5</v>
      </c>
      <c r="AG16" s="14">
        <f t="shared" si="18"/>
        <v>2.1803335737518013E-3</v>
      </c>
      <c r="AH16" s="14">
        <f t="shared" si="19"/>
        <v>4.6471196820320205E-4</v>
      </c>
      <c r="AI16" s="14">
        <f t="shared" si="20"/>
        <v>7.6750032858854072E-9</v>
      </c>
      <c r="AJ16" s="14">
        <f t="shared" si="21"/>
        <v>4.3952119401037266E-4</v>
      </c>
      <c r="AK16" s="14">
        <f t="shared" si="22"/>
        <v>9.2589735022214851E-3</v>
      </c>
      <c r="AL16" s="14">
        <f t="shared" si="23"/>
        <v>0.43794110266978692</v>
      </c>
      <c r="AM16" s="14">
        <f t="shared" si="24"/>
        <v>9.3341896959627607E-2</v>
      </c>
      <c r="AN16" s="14">
        <f t="shared" si="25"/>
        <v>1.5415986996114183E-6</v>
      </c>
      <c r="AO16" s="14">
        <f t="shared" si="26"/>
        <v>8.8282086130713991E-2</v>
      </c>
      <c r="AP16" s="14">
        <f t="shared" si="46"/>
        <v>9.2589735022214851E-3</v>
      </c>
      <c r="AQ16" s="14">
        <f t="shared" si="30"/>
        <v>0.43794110266978692</v>
      </c>
      <c r="AR16" s="14">
        <f t="shared" si="47"/>
        <v>9.5927011040098722E-2</v>
      </c>
      <c r="AS16" s="14">
        <f t="shared" si="32"/>
        <v>1.5415986996114183E-6</v>
      </c>
      <c r="AT16" s="14">
        <f t="shared" si="39"/>
        <v>8.7229588287151619E-2</v>
      </c>
      <c r="AU16" s="10">
        <f t="shared" si="40"/>
        <v>2.4899527352946482E-2</v>
      </c>
      <c r="AV16" s="10">
        <f t="shared" si="41"/>
        <v>4.0452598449164148</v>
      </c>
      <c r="AW16" s="10">
        <f t="shared" si="42"/>
        <v>0.20732746488314802</v>
      </c>
      <c r="AX16" s="10">
        <f t="shared" si="43"/>
        <v>3.5156924586726166E-6</v>
      </c>
      <c r="AY16" s="10">
        <f t="shared" si="44"/>
        <v>0.2795858741831822</v>
      </c>
      <c r="AZ16" s="10">
        <f t="shared" si="33"/>
        <v>0.37185338384046979</v>
      </c>
      <c r="BA16" s="10">
        <f t="shared" si="34"/>
        <v>0.10826031440727781</v>
      </c>
      <c r="BB16" s="10">
        <f t="shared" si="35"/>
        <v>0.46268356724548876</v>
      </c>
      <c r="BC16" s="10">
        <f t="shared" si="45"/>
        <v>0.43849077179903945</v>
      </c>
      <c r="BD16" s="10">
        <f t="shared" si="37"/>
        <v>0.31199569199264898</v>
      </c>
      <c r="BG16" s="12">
        <v>40.000000000000014</v>
      </c>
      <c r="BH16" s="10">
        <v>0.2929306231214947</v>
      </c>
    </row>
    <row r="17" spans="2:60" x14ac:dyDescent="0.25">
      <c r="B17" s="10" t="s">
        <v>100</v>
      </c>
      <c r="C17" s="14" t="s">
        <v>117</v>
      </c>
      <c r="D17" s="12">
        <f t="shared" si="38"/>
        <v>100.00000000000004</v>
      </c>
      <c r="E17" s="9">
        <f>F17-$F$3</f>
        <v>6.9444444444444475E-2</v>
      </c>
      <c r="F17" s="9">
        <v>0.52222222222222225</v>
      </c>
      <c r="G17" s="11">
        <v>10.0068</v>
      </c>
      <c r="H17" s="11">
        <v>18.967400000000001</v>
      </c>
      <c r="I17" s="11">
        <v>14.8874</v>
      </c>
      <c r="J17" s="11">
        <f t="shared" si="1"/>
        <v>4.0800000000000018</v>
      </c>
      <c r="K17" s="11">
        <f t="shared" si="2"/>
        <v>4.8805999999999994</v>
      </c>
      <c r="L17" s="18">
        <v>65333</v>
      </c>
      <c r="M17" s="19">
        <v>6678</v>
      </c>
      <c r="N17" s="20">
        <v>3371764</v>
      </c>
      <c r="O17" s="21">
        <v>66658</v>
      </c>
      <c r="P17" s="17">
        <v>1064125</v>
      </c>
      <c r="Q17" s="14">
        <f t="shared" si="3"/>
        <v>10.844648623320532</v>
      </c>
      <c r="R17" s="14">
        <f t="shared" si="4"/>
        <v>1306.6526563170858</v>
      </c>
      <c r="S17" s="14">
        <f t="shared" si="5"/>
        <v>46.618400011525218</v>
      </c>
      <c r="T17" s="14">
        <f t="shared" si="0"/>
        <v>3.6663199999999998E-4</v>
      </c>
      <c r="U17" s="14">
        <f t="shared" si="6"/>
        <v>203.52126281294056</v>
      </c>
      <c r="V17" s="14">
        <f t="shared" si="7"/>
        <v>1.3426759460533151E-2</v>
      </c>
      <c r="W17" s="14">
        <f t="shared" si="8"/>
        <v>0.79673942458358882</v>
      </c>
      <c r="X17" s="14">
        <f t="shared" si="9"/>
        <v>8.4304714580842197E-2</v>
      </c>
      <c r="Y17" s="14">
        <f t="shared" si="10"/>
        <v>2.2138340055999999E-6</v>
      </c>
      <c r="Z17" s="14">
        <f t="shared" si="11"/>
        <v>0.13371346966810196</v>
      </c>
      <c r="AA17" s="14">
        <f t="shared" si="12"/>
        <v>6.1958730979617201E-4</v>
      </c>
      <c r="AB17" s="14">
        <f t="shared" si="13"/>
        <v>1.9338459313492865E-3</v>
      </c>
      <c r="AC17" s="14">
        <f t="shared" si="14"/>
        <v>5.0266056720427006E-2</v>
      </c>
      <c r="AD17" s="14">
        <f t="shared" si="15"/>
        <v>1.28520647808E-8</v>
      </c>
      <c r="AE17" s="14">
        <f t="shared" si="16"/>
        <v>4.8967215832793499E-3</v>
      </c>
      <c r="AF17" s="14">
        <f t="shared" si="17"/>
        <v>5.7805136423166485E-5</v>
      </c>
      <c r="AG17" s="14">
        <f t="shared" si="18"/>
        <v>3.2601351807535874E-3</v>
      </c>
      <c r="AH17" s="14">
        <f t="shared" si="19"/>
        <v>5.8929175191955226E-4</v>
      </c>
      <c r="AI17" s="14">
        <f t="shared" si="20"/>
        <v>9.0951685302171763E-9</v>
      </c>
      <c r="AJ17" s="14">
        <f t="shared" si="21"/>
        <v>5.6944989560520944E-4</v>
      </c>
      <c r="AK17" s="14">
        <f t="shared" si="22"/>
        <v>1.1843858628686327E-2</v>
      </c>
      <c r="AL17" s="14">
        <f t="shared" si="23"/>
        <v>0.66797835937253369</v>
      </c>
      <c r="AM17" s="14">
        <f t="shared" si="24"/>
        <v>0.12074166125467203</v>
      </c>
      <c r="AN17" s="14">
        <f t="shared" si="25"/>
        <v>1.8635349199313974E-6</v>
      </c>
      <c r="AO17" s="14">
        <f t="shared" si="26"/>
        <v>0.11667620694283684</v>
      </c>
      <c r="AP17" s="14">
        <f t="shared" si="46"/>
        <v>1.1843858628686327E-2</v>
      </c>
      <c r="AQ17" s="14">
        <f t="shared" si="30"/>
        <v>0.66797835937253369</v>
      </c>
      <c r="AR17" s="14">
        <f t="shared" si="47"/>
        <v>0.12332677533514315</v>
      </c>
      <c r="AS17" s="14">
        <f t="shared" si="32"/>
        <v>1.8635349199313974E-6</v>
      </c>
      <c r="AT17" s="14">
        <f t="shared" si="39"/>
        <v>0.11562370909927447</v>
      </c>
      <c r="AU17" s="10">
        <f t="shared" si="40"/>
        <v>2.4337483405045986E-2</v>
      </c>
      <c r="AV17" s="10">
        <f t="shared" si="41"/>
        <v>3.8912893708306733</v>
      </c>
      <c r="AW17" s="10">
        <f t="shared" si="42"/>
        <v>0.20490420549314914</v>
      </c>
      <c r="AX17" s="10">
        <f t="shared" si="43"/>
        <v>3.5017567404741659E-6</v>
      </c>
      <c r="AY17" s="10">
        <f t="shared" si="44"/>
        <v>0.27627220179005973</v>
      </c>
      <c r="AZ17" s="10">
        <f t="shared" ref="AZ17:AZ37" si="48">AP17/AU17</f>
        <v>0.48665091749916484</v>
      </c>
      <c r="BA17" s="10">
        <f t="shared" ref="BA17:BA37" si="49">AQ17/AV17</f>
        <v>0.17165990388166388</v>
      </c>
      <c r="BB17" s="10">
        <f t="shared" si="35"/>
        <v>0.60187527648995232</v>
      </c>
      <c r="BC17" s="10">
        <f t="shared" si="45"/>
        <v>0.53217143795061561</v>
      </c>
      <c r="BD17" s="10">
        <f t="shared" si="37"/>
        <v>0.4185137279469664</v>
      </c>
      <c r="BF17" s="14"/>
      <c r="BG17" s="11">
        <v>50</v>
      </c>
      <c r="BH17" s="10">
        <v>0.36121525733585347</v>
      </c>
    </row>
    <row r="18" spans="2:60" x14ac:dyDescent="0.25">
      <c r="B18" s="10" t="s">
        <v>101</v>
      </c>
      <c r="C18" s="14" t="s">
        <v>117</v>
      </c>
      <c r="D18" s="12">
        <f t="shared" si="38"/>
        <v>119.99999999999997</v>
      </c>
      <c r="E18" s="9">
        <f t="shared" ref="E18:E27" si="50">F18-$F$3</f>
        <v>8.3333333333333315E-2</v>
      </c>
      <c r="F18" s="9">
        <v>0.53611111111111109</v>
      </c>
      <c r="G18" s="11">
        <v>10.016</v>
      </c>
      <c r="H18" s="11">
        <v>18.9068</v>
      </c>
      <c r="I18" s="11">
        <v>14.6546</v>
      </c>
      <c r="J18" s="11">
        <f t="shared" si="1"/>
        <v>4.2522000000000002</v>
      </c>
      <c r="K18" s="11">
        <f t="shared" si="2"/>
        <v>4.6386000000000003</v>
      </c>
      <c r="L18" s="18">
        <v>71095</v>
      </c>
      <c r="M18" s="19">
        <v>7358</v>
      </c>
      <c r="N18" s="20">
        <v>3665131</v>
      </c>
      <c r="O18" s="21">
        <v>71515</v>
      </c>
      <c r="P18" s="17">
        <v>1150455</v>
      </c>
      <c r="Q18" s="14">
        <f t="shared" si="3"/>
        <v>11.431583665237188</v>
      </c>
      <c r="R18" s="14">
        <f t="shared" si="4"/>
        <v>1460.3145549454275</v>
      </c>
      <c r="S18" s="14">
        <f t="shared" si="5"/>
        <v>50.844798524772017</v>
      </c>
      <c r="T18" s="14">
        <f t="shared" si="0"/>
        <v>3.8606000000000003E-4</v>
      </c>
      <c r="U18" s="14">
        <f t="shared" si="6"/>
        <v>219.96945852227259</v>
      </c>
      <c r="V18" s="14">
        <f t="shared" si="7"/>
        <v>1.4153443735930162E-2</v>
      </c>
      <c r="W18" s="14">
        <f t="shared" si="8"/>
        <v>0.89043570423501672</v>
      </c>
      <c r="X18" s="14">
        <f t="shared" si="9"/>
        <v>9.1947733652197716E-2</v>
      </c>
      <c r="Y18" s="14">
        <f t="shared" si="10"/>
        <v>2.3311460979999997E-6</v>
      </c>
      <c r="Z18" s="14">
        <f t="shared" si="11"/>
        <v>0.14451993424913309</v>
      </c>
      <c r="AA18" s="14">
        <f t="shared" si="12"/>
        <v>6.5312066954599621E-4</v>
      </c>
      <c r="AB18" s="14">
        <f t="shared" si="13"/>
        <v>2.1612655413192328E-3</v>
      </c>
      <c r="AC18" s="14">
        <f t="shared" si="14"/>
        <v>5.4823149785342806E-2</v>
      </c>
      <c r="AD18" s="14">
        <f t="shared" si="15"/>
        <v>1.3533101664E-8</v>
      </c>
      <c r="AE18" s="14">
        <f t="shared" si="16"/>
        <v>5.2924651720458789E-3</v>
      </c>
      <c r="AF18" s="14">
        <f t="shared" si="17"/>
        <v>6.32128389916783E-5</v>
      </c>
      <c r="AG18" s="14">
        <f t="shared" si="18"/>
        <v>3.7963359478881014E-3</v>
      </c>
      <c r="AH18" s="14">
        <f t="shared" si="19"/>
        <v>6.4528281563016633E-4</v>
      </c>
      <c r="AI18" s="14">
        <f t="shared" si="20"/>
        <v>9.9752740832942286E-9</v>
      </c>
      <c r="AJ18" s="14">
        <f t="shared" si="21"/>
        <v>6.3907729336121568E-4</v>
      </c>
      <c r="AK18" s="14">
        <f t="shared" si="22"/>
        <v>1.3627568445582352E-2</v>
      </c>
      <c r="AL18" s="14">
        <f t="shared" si="23"/>
        <v>0.81842278874835106</v>
      </c>
      <c r="AM18" s="14">
        <f t="shared" si="24"/>
        <v>0.13911154564527362</v>
      </c>
      <c r="AN18" s="14">
        <f t="shared" si="25"/>
        <v>2.1504924079020021E-6</v>
      </c>
      <c r="AO18" s="14">
        <f t="shared" si="26"/>
        <v>0.13777374495779238</v>
      </c>
      <c r="AP18" s="14">
        <f t="shared" si="46"/>
        <v>1.3627568445582352E-2</v>
      </c>
      <c r="AQ18" s="14">
        <f t="shared" si="30"/>
        <v>0.81842278874835106</v>
      </c>
      <c r="AR18" s="14">
        <f t="shared" si="47"/>
        <v>0.14169665972574472</v>
      </c>
      <c r="AS18" s="14">
        <f t="shared" si="32"/>
        <v>2.1504924079020021E-6</v>
      </c>
      <c r="AT18" s="14">
        <f t="shared" si="39"/>
        <v>0.13672124711423</v>
      </c>
      <c r="AU18" s="10">
        <f t="shared" si="40"/>
        <v>2.3745858196729679E-2</v>
      </c>
      <c r="AV18" s="10">
        <f t="shared" si="41"/>
        <v>3.7292151875825259</v>
      </c>
      <c r="AW18" s="10">
        <f t="shared" si="42"/>
        <v>0.20235340613525563</v>
      </c>
      <c r="AX18" s="10">
        <f t="shared" si="43"/>
        <v>3.4870875634231649E-6</v>
      </c>
      <c r="AY18" s="10">
        <f t="shared" si="44"/>
        <v>0.27278412558677301</v>
      </c>
      <c r="AZ18" s="10">
        <f t="shared" si="48"/>
        <v>0.57389243769084597</v>
      </c>
      <c r="BA18" s="10">
        <f t="shared" si="49"/>
        <v>0.21946247335726848</v>
      </c>
      <c r="BB18" s="10">
        <f t="shared" si="35"/>
        <v>0.70024351174515365</v>
      </c>
      <c r="BC18" s="10">
        <f t="shared" si="45"/>
        <v>0.61670157940941717</v>
      </c>
      <c r="BD18" s="10">
        <f t="shared" si="37"/>
        <v>0.50120675761514866</v>
      </c>
      <c r="BG18" s="12">
        <v>60.000000000000028</v>
      </c>
      <c r="BH18" s="10">
        <v>0.50855204040529223</v>
      </c>
    </row>
    <row r="19" spans="2:60" x14ac:dyDescent="0.25">
      <c r="B19" s="10" t="s">
        <v>102</v>
      </c>
      <c r="C19" s="14" t="s">
        <v>117</v>
      </c>
      <c r="D19" s="12">
        <f t="shared" si="38"/>
        <v>139.99999999999991</v>
      </c>
      <c r="E19" s="9">
        <f t="shared" si="50"/>
        <v>9.7222222222222154E-2</v>
      </c>
      <c r="F19" s="9">
        <v>0.54999999999999993</v>
      </c>
      <c r="G19" s="11">
        <v>9.8003</v>
      </c>
      <c r="H19" s="11">
        <v>18.8566</v>
      </c>
      <c r="I19" s="11">
        <v>14.7567</v>
      </c>
      <c r="J19" s="11">
        <f t="shared" si="1"/>
        <v>4.0998999999999999</v>
      </c>
      <c r="K19" s="11">
        <f t="shared" si="2"/>
        <v>4.9564000000000004</v>
      </c>
      <c r="L19" s="18">
        <v>89396</v>
      </c>
      <c r="M19" s="19">
        <v>8814</v>
      </c>
      <c r="N19" s="20">
        <v>4290538</v>
      </c>
      <c r="O19" s="21">
        <v>90908</v>
      </c>
      <c r="P19" s="17">
        <v>1425911</v>
      </c>
      <c r="Q19" s="14">
        <f t="shared" si="3"/>
        <v>13.295779812775667</v>
      </c>
      <c r="R19" s="14">
        <f t="shared" si="4"/>
        <v>1789.3317967143471</v>
      </c>
      <c r="S19" s="14">
        <f t="shared" si="5"/>
        <v>59.854739025830895</v>
      </c>
      <c r="T19" s="14">
        <f t="shared" si="0"/>
        <v>4.6363200000000001E-4</v>
      </c>
      <c r="U19" s="14">
        <f t="shared" si="6"/>
        <v>272.45126319399458</v>
      </c>
      <c r="V19" s="14">
        <f t="shared" si="7"/>
        <v>1.6461504986197553E-2</v>
      </c>
      <c r="W19" s="14">
        <f t="shared" si="8"/>
        <v>1.0910559736063092</v>
      </c>
      <c r="X19" s="14">
        <f t="shared" si="9"/>
        <v>0.10824131005431259</v>
      </c>
      <c r="Y19" s="14">
        <f t="shared" si="10"/>
        <v>2.7995491055999998E-6</v>
      </c>
      <c r="Z19" s="14">
        <f t="shared" si="11"/>
        <v>0.17900047991845447</v>
      </c>
      <c r="AA19" s="14">
        <f t="shared" si="12"/>
        <v>7.5962778804331216E-4</v>
      </c>
      <c r="AB19" s="14">
        <f t="shared" si="13"/>
        <v>2.6482110591372334E-3</v>
      </c>
      <c r="AC19" s="14">
        <f t="shared" si="14"/>
        <v>6.4538073080907032E-2</v>
      </c>
      <c r="AD19" s="14">
        <f t="shared" si="15"/>
        <v>1.6252341580800002E-8</v>
      </c>
      <c r="AE19" s="14">
        <f t="shared" si="16"/>
        <v>6.55517739244751E-3</v>
      </c>
      <c r="AF19" s="14">
        <f t="shared" si="17"/>
        <v>7.1255543461569212E-5</v>
      </c>
      <c r="AG19" s="14">
        <f t="shared" si="18"/>
        <v>4.4863459794820156E-3</v>
      </c>
      <c r="AH19" s="14">
        <f t="shared" si="19"/>
        <v>7.6365505250988383E-4</v>
      </c>
      <c r="AI19" s="14">
        <f t="shared" si="20"/>
        <v>1.1558424483860515E-8</v>
      </c>
      <c r="AJ19" s="14">
        <f t="shared" si="21"/>
        <v>7.6637414884559829E-4</v>
      </c>
      <c r="AK19" s="14">
        <f t="shared" si="22"/>
        <v>1.437647152400315E-2</v>
      </c>
      <c r="AL19" s="14">
        <f t="shared" si="23"/>
        <v>0.90516221037083677</v>
      </c>
      <c r="AM19" s="14">
        <f t="shared" si="24"/>
        <v>0.15407454049509398</v>
      </c>
      <c r="AN19" s="14">
        <f t="shared" si="25"/>
        <v>2.332020112150051E-6</v>
      </c>
      <c r="AO19" s="14">
        <f t="shared" si="26"/>
        <v>0.15462314358114723</v>
      </c>
      <c r="AP19" s="14">
        <f t="shared" si="46"/>
        <v>1.437647152400315E-2</v>
      </c>
      <c r="AQ19" s="14">
        <f t="shared" si="30"/>
        <v>0.90516221037083677</v>
      </c>
      <c r="AR19" s="14">
        <f t="shared" si="47"/>
        <v>0.15665965457556508</v>
      </c>
      <c r="AS19" s="14">
        <f t="shared" si="32"/>
        <v>2.332020112150051E-6</v>
      </c>
      <c r="AT19" s="14">
        <f t="shared" si="39"/>
        <v>0.15357064573758486</v>
      </c>
      <c r="AU19" s="10">
        <f t="shared" si="40"/>
        <v>2.3154232988413369E-2</v>
      </c>
      <c r="AV19" s="10">
        <f t="shared" si="41"/>
        <v>3.5671410043343785</v>
      </c>
      <c r="AW19" s="10">
        <f t="shared" si="42"/>
        <v>0.19980260677736211</v>
      </c>
      <c r="AX19" s="10">
        <f t="shared" si="43"/>
        <v>3.4724183863721638E-6</v>
      </c>
      <c r="AY19" s="10">
        <f t="shared" si="44"/>
        <v>0.26929604938348628</v>
      </c>
      <c r="AZ19" s="10">
        <f t="shared" si="48"/>
        <v>0.62090035680289191</v>
      </c>
      <c r="BA19" s="10">
        <f t="shared" si="49"/>
        <v>0.25375005060663092</v>
      </c>
      <c r="BB19" s="10">
        <f t="shared" si="35"/>
        <v>0.78407212549598637</v>
      </c>
      <c r="BC19" s="10">
        <f t="shared" si="45"/>
        <v>0.67158385098474471</v>
      </c>
      <c r="BD19" s="10">
        <f t="shared" si="37"/>
        <v>0.57026698345245797</v>
      </c>
      <c r="BF19" s="14"/>
      <c r="BG19" s="11">
        <v>70</v>
      </c>
      <c r="BH19" s="10">
        <v>0.58593871037709533</v>
      </c>
    </row>
    <row r="20" spans="2:60" x14ac:dyDescent="0.25">
      <c r="B20" s="10" t="s">
        <v>103</v>
      </c>
      <c r="C20" s="16" t="s">
        <v>117</v>
      </c>
      <c r="D20" s="12">
        <f t="shared" si="38"/>
        <v>161</v>
      </c>
      <c r="E20" s="9">
        <f t="shared" si="50"/>
        <v>0.11180555555555555</v>
      </c>
      <c r="F20" s="9">
        <v>0.56458333333333333</v>
      </c>
      <c r="G20" s="11">
        <v>9.9679000000000002</v>
      </c>
      <c r="H20" s="11">
        <v>18.887799999999999</v>
      </c>
      <c r="I20" s="11">
        <v>14.7376</v>
      </c>
      <c r="J20" s="11">
        <f t="shared" si="1"/>
        <v>4.1501999999999981</v>
      </c>
      <c r="K20" s="11">
        <f t="shared" si="2"/>
        <v>4.7697000000000003</v>
      </c>
      <c r="L20" s="18">
        <v>85839</v>
      </c>
      <c r="M20" s="19">
        <v>8231</v>
      </c>
      <c r="N20" s="20">
        <v>4323267</v>
      </c>
      <c r="O20" s="21">
        <v>79794</v>
      </c>
      <c r="P20" s="17">
        <v>1400666</v>
      </c>
      <c r="Q20" s="16">
        <f t="shared" si="3"/>
        <v>12.933452852675433</v>
      </c>
      <c r="R20" s="16">
        <f t="shared" si="4"/>
        <v>1657.5893159785778</v>
      </c>
      <c r="S20" s="16">
        <f t="shared" si="5"/>
        <v>60.326250126057076</v>
      </c>
      <c r="T20" s="16">
        <f t="shared" si="0"/>
        <v>4.19176E-4</v>
      </c>
      <c r="U20" s="16">
        <f t="shared" si="6"/>
        <v>267.64140913767477</v>
      </c>
      <c r="V20" s="16">
        <f t="shared" si="7"/>
        <v>1.6012907976897455E-2</v>
      </c>
      <c r="W20" s="16">
        <f t="shared" si="8"/>
        <v>1.0107251926698644</v>
      </c>
      <c r="X20" s="16">
        <f t="shared" si="9"/>
        <v>0.10909399072796161</v>
      </c>
      <c r="Y20" s="16">
        <f t="shared" si="10"/>
        <v>2.5311104408000001E-6</v>
      </c>
      <c r="Z20" s="16">
        <f t="shared" si="11"/>
        <v>0.17584040580345234</v>
      </c>
      <c r="AA20" s="16">
        <f t="shared" si="12"/>
        <v>7.3892696183190546E-4</v>
      </c>
      <c r="AB20" s="16">
        <f t="shared" si="13"/>
        <v>2.4532321876482954E-3</v>
      </c>
      <c r="AC20" s="16">
        <f t="shared" si="14"/>
        <v>6.5046477567170413E-2</v>
      </c>
      <c r="AD20" s="16">
        <f t="shared" si="15"/>
        <v>1.4693963174400001E-8</v>
      </c>
      <c r="AE20" s="16">
        <f t="shared" si="16"/>
        <v>6.4394523038524554E-3</v>
      </c>
      <c r="AF20" s="16">
        <f t="shared" si="17"/>
        <v>6.9981230615569413E-5</v>
      </c>
      <c r="AG20" s="16">
        <f t="shared" si="18"/>
        <v>4.2064128761838951E-3</v>
      </c>
      <c r="AH20" s="16">
        <f t="shared" si="19"/>
        <v>7.6301406437131883E-4</v>
      </c>
      <c r="AI20" s="16">
        <f t="shared" si="20"/>
        <v>1.0574700347561093E-8</v>
      </c>
      <c r="AJ20" s="16">
        <f t="shared" si="21"/>
        <v>7.6048710781917266E-4</v>
      </c>
      <c r="AK20" s="16">
        <f t="shared" si="22"/>
        <v>1.4672040299299622E-2</v>
      </c>
      <c r="AL20" s="16">
        <f t="shared" si="23"/>
        <v>0.88190302874056958</v>
      </c>
      <c r="AM20" s="16">
        <f t="shared" si="24"/>
        <v>0.15997108085861142</v>
      </c>
      <c r="AN20" s="16">
        <f t="shared" si="25"/>
        <v>2.2170577494519766E-6</v>
      </c>
      <c r="AO20" s="16">
        <f t="shared" si="26"/>
        <v>0.15944128725479015</v>
      </c>
      <c r="AP20" s="16">
        <f t="shared" si="46"/>
        <v>1.4672040299299622E-2</v>
      </c>
      <c r="AQ20" s="16">
        <f t="shared" si="30"/>
        <v>0.88190302874056958</v>
      </c>
      <c r="AR20" s="16">
        <f t="shared" si="47"/>
        <v>0.16255619493908252</v>
      </c>
      <c r="AS20" s="16">
        <f t="shared" si="32"/>
        <v>2.2170577494519766E-6</v>
      </c>
      <c r="AT20" s="16">
        <f t="shared" ref="AT20:AT37" si="51">IF(AO20-(AVERAGE($AO$9:$AO$11))&lt;0,0,AO20-(AVERAGE($AO$9:$AO$11)))</f>
        <v>0.15838878941122778</v>
      </c>
      <c r="AU20" s="10">
        <f t="shared" si="40"/>
        <v>2.253302651968124E-2</v>
      </c>
      <c r="AV20" s="10">
        <f t="shared" si="41"/>
        <v>3.3969631119238226</v>
      </c>
      <c r="AW20" s="10">
        <f t="shared" si="42"/>
        <v>0.19712426745157391</v>
      </c>
      <c r="AX20" s="10">
        <f t="shared" si="43"/>
        <v>3.4570157504686128E-6</v>
      </c>
      <c r="AY20" s="10">
        <f t="shared" si="44"/>
        <v>0.26563356937003518</v>
      </c>
      <c r="AZ20" s="10">
        <f t="shared" si="48"/>
        <v>0.65113491463228346</v>
      </c>
      <c r="BA20" s="10">
        <f t="shared" si="49"/>
        <v>0.2596151326003408</v>
      </c>
      <c r="BB20" s="10">
        <f t="shared" si="35"/>
        <v>0.82463816880900531</v>
      </c>
      <c r="BC20" s="10">
        <f t="shared" si="45"/>
        <v>0.64132127519275706</v>
      </c>
      <c r="BD20" s="10">
        <f t="shared" si="37"/>
        <v>0.5962679709001224</v>
      </c>
      <c r="BG20" s="12">
        <v>80.999999999999957</v>
      </c>
      <c r="BH20" s="10">
        <v>0.68881108046974238</v>
      </c>
    </row>
    <row r="21" spans="2:60" s="4" customFormat="1" x14ac:dyDescent="0.25">
      <c r="B21" s="4" t="s">
        <v>104</v>
      </c>
      <c r="C21" s="5" t="s">
        <v>43</v>
      </c>
      <c r="D21" s="6">
        <f t="shared" si="38"/>
        <v>162.99999999999997</v>
      </c>
      <c r="E21" s="7">
        <f t="shared" si="50"/>
        <v>0.11319444444444443</v>
      </c>
      <c r="F21" s="7">
        <v>0.56597222222222221</v>
      </c>
      <c r="G21" s="8">
        <v>9.923</v>
      </c>
      <c r="H21" s="8">
        <v>18.9819</v>
      </c>
      <c r="I21" s="8">
        <v>14.918799999999999</v>
      </c>
      <c r="J21" s="8">
        <f t="shared" si="1"/>
        <v>4.0631000000000004</v>
      </c>
      <c r="K21" s="8">
        <f t="shared" si="2"/>
        <v>4.9957999999999991</v>
      </c>
      <c r="L21" s="13">
        <v>166211</v>
      </c>
      <c r="M21" s="13">
        <v>30974</v>
      </c>
      <c r="N21" s="13">
        <v>5426434</v>
      </c>
      <c r="O21" s="13">
        <v>149663</v>
      </c>
      <c r="P21" s="13">
        <v>2499321</v>
      </c>
      <c r="Q21" s="5">
        <f t="shared" si="3"/>
        <v>21.120391969115115</v>
      </c>
      <c r="R21" s="5">
        <f t="shared" si="4"/>
        <v>6796.9019049555964</v>
      </c>
      <c r="S21" s="5">
        <f t="shared" si="5"/>
        <v>76.219051186377186</v>
      </c>
      <c r="T21" s="5">
        <f t="shared" si="0"/>
        <v>6.9865200000000013E-4</v>
      </c>
      <c r="U21" s="5">
        <f t="shared" si="6"/>
        <v>476.96484776892885</v>
      </c>
      <c r="V21" s="5">
        <f t="shared" si="7"/>
        <v>2.614915729696142E-2</v>
      </c>
      <c r="W21" s="5">
        <f t="shared" si="8"/>
        <v>4.1444523810704856</v>
      </c>
      <c r="X21" s="5">
        <f t="shared" si="9"/>
        <v>0.1378345321654445</v>
      </c>
      <c r="Y21" s="5">
        <f t="shared" si="10"/>
        <v>4.2186703716000002E-6</v>
      </c>
      <c r="Z21" s="5">
        <f t="shared" si="11"/>
        <v>0.31336590498418626</v>
      </c>
      <c r="AA21" s="5">
        <f t="shared" si="12"/>
        <v>1.2066713543714539E-3</v>
      </c>
      <c r="AB21" s="5">
        <f t="shared" si="13"/>
        <v>1.0059414819334282E-2</v>
      </c>
      <c r="AC21" s="5">
        <f t="shared" si="14"/>
        <v>8.2182810846455262E-2</v>
      </c>
      <c r="AD21" s="5">
        <f t="shared" si="15"/>
        <v>2.4490826668800005E-8</v>
      </c>
      <c r="AE21" s="5">
        <f t="shared" si="16"/>
        <v>1.1475774237320427E-2</v>
      </c>
      <c r="AF21" s="5">
        <f t="shared" si="17"/>
        <v>1.1227492976545286E-4</v>
      </c>
      <c r="AG21" s="5">
        <f t="shared" si="18"/>
        <v>1.688957929408192E-2</v>
      </c>
      <c r="AH21" s="5">
        <f t="shared" si="19"/>
        <v>9.7060437406813879E-4</v>
      </c>
      <c r="AI21" s="5">
        <f t="shared" si="20"/>
        <v>1.7263230858719955E-8</v>
      </c>
      <c r="AJ21" s="5">
        <f t="shared" si="21"/>
        <v>1.3305676814760524E-3</v>
      </c>
      <c r="AK21" s="5">
        <f t="shared" si="22"/>
        <v>2.2473863998849611E-2</v>
      </c>
      <c r="AL21" s="5">
        <f t="shared" si="23"/>
        <v>3.3807556935990077</v>
      </c>
      <c r="AM21" s="5">
        <f t="shared" si="24"/>
        <v>0.19428407343531345</v>
      </c>
      <c r="AN21" s="5">
        <f t="shared" si="25"/>
        <v>3.4555488327635128E-6</v>
      </c>
      <c r="AO21" s="5">
        <f t="shared" si="26"/>
        <v>0.26633725959326887</v>
      </c>
      <c r="AP21" s="5">
        <f t="shared" si="46"/>
        <v>2.2473863998849611E-2</v>
      </c>
      <c r="AQ21" s="5">
        <f t="shared" si="30"/>
        <v>3.3807556935990077</v>
      </c>
      <c r="AR21" s="5">
        <f t="shared" si="47"/>
        <v>0.19686918751578455</v>
      </c>
      <c r="AS21" s="5">
        <f t="shared" si="32"/>
        <v>3.4555488327635128E-6</v>
      </c>
      <c r="AT21" s="5">
        <f t="shared" si="51"/>
        <v>0.2652847617497065</v>
      </c>
      <c r="AU21" s="4">
        <f>AP21</f>
        <v>2.2473863998849611E-2</v>
      </c>
      <c r="AV21" s="4">
        <f t="shared" ref="AV21:AY21" si="52">AQ21</f>
        <v>3.3807556935990077</v>
      </c>
      <c r="AW21" s="4">
        <f t="shared" si="52"/>
        <v>0.19686918751578455</v>
      </c>
      <c r="AX21" s="4">
        <f t="shared" si="52"/>
        <v>3.4555488327635128E-6</v>
      </c>
      <c r="AY21" s="4">
        <f t="shared" si="52"/>
        <v>0.2652847617497065</v>
      </c>
      <c r="AZ21" s="4">
        <f t="shared" si="48"/>
        <v>1</v>
      </c>
      <c r="BA21" s="4">
        <f t="shared" si="49"/>
        <v>1</v>
      </c>
      <c r="BB21" s="4">
        <f t="shared" si="35"/>
        <v>1</v>
      </c>
      <c r="BC21" s="4">
        <f t="shared" si="45"/>
        <v>1</v>
      </c>
      <c r="BD21" s="4">
        <f t="shared" si="37"/>
        <v>1</v>
      </c>
      <c r="BF21" s="5"/>
      <c r="BG21" s="11">
        <v>91</v>
      </c>
      <c r="BH21" s="10">
        <v>0.75554643200198301</v>
      </c>
    </row>
    <row r="22" spans="2:60" x14ac:dyDescent="0.25">
      <c r="B22" s="10" t="s">
        <v>105</v>
      </c>
      <c r="C22" s="14" t="s">
        <v>117</v>
      </c>
      <c r="D22" s="12">
        <f t="shared" si="38"/>
        <v>180.00000000000009</v>
      </c>
      <c r="E22" s="9">
        <f t="shared" si="50"/>
        <v>0.12500000000000006</v>
      </c>
      <c r="F22" s="9">
        <v>0.57777777777777783</v>
      </c>
      <c r="G22" s="11">
        <v>9.8664000000000005</v>
      </c>
      <c r="H22" s="11">
        <v>18.9725</v>
      </c>
      <c r="I22" s="11">
        <v>14.9765</v>
      </c>
      <c r="J22" s="11">
        <f t="shared" si="1"/>
        <v>3.9960000000000004</v>
      </c>
      <c r="K22" s="11">
        <f t="shared" si="2"/>
        <v>5.1100999999999992</v>
      </c>
      <c r="L22" s="18">
        <v>99504</v>
      </c>
      <c r="M22" s="19">
        <v>9604</v>
      </c>
      <c r="N22" s="20">
        <v>4769261</v>
      </c>
      <c r="O22" s="21">
        <v>99484</v>
      </c>
      <c r="P22" s="17">
        <v>1635320</v>
      </c>
      <c r="Q22" s="14">
        <f t="shared" si="3"/>
        <v>14.32541178148333</v>
      </c>
      <c r="R22" s="14">
        <f t="shared" si="4"/>
        <v>1967.8507671796262</v>
      </c>
      <c r="S22" s="14">
        <f t="shared" si="5"/>
        <v>66.751473067004738</v>
      </c>
      <c r="T22" s="14">
        <f t="shared" si="0"/>
        <v>4.9793600000000004E-4</v>
      </c>
      <c r="U22" s="14">
        <f t="shared" si="6"/>
        <v>312.34933125023815</v>
      </c>
      <c r="V22" s="14">
        <f t="shared" si="7"/>
        <v>1.7736292326654513E-2</v>
      </c>
      <c r="W22" s="14">
        <f t="shared" si="8"/>
        <v>1.1999090043778209</v>
      </c>
      <c r="X22" s="14">
        <f t="shared" si="9"/>
        <v>0.12071336389437137</v>
      </c>
      <c r="Y22" s="14">
        <f t="shared" si="10"/>
        <v>3.0066869488000002E-6</v>
      </c>
      <c r="Z22" s="14">
        <f t="shared" si="11"/>
        <v>0.2052135106314065</v>
      </c>
      <c r="AA22" s="14">
        <f t="shared" si="12"/>
        <v>8.1845375131148711E-4</v>
      </c>
      <c r="AB22" s="14">
        <f t="shared" si="13"/>
        <v>2.912419135425847E-3</v>
      </c>
      <c r="AC22" s="14">
        <f t="shared" si="14"/>
        <v>7.1974442077132536E-2</v>
      </c>
      <c r="AD22" s="14">
        <f t="shared" si="15"/>
        <v>1.7454847718399997E-8</v>
      </c>
      <c r="AE22" s="14">
        <f t="shared" si="16"/>
        <v>7.5151249098807296E-3</v>
      </c>
      <c r="AF22" s="14">
        <f t="shared" si="17"/>
        <v>7.5056604651888272E-5</v>
      </c>
      <c r="AG22" s="14">
        <f t="shared" si="18"/>
        <v>4.8097191345177126E-3</v>
      </c>
      <c r="AH22" s="14">
        <f t="shared" si="19"/>
        <v>8.50167198580263E-4</v>
      </c>
      <c r="AI22" s="14">
        <f t="shared" si="20"/>
        <v>1.2103917064730597E-8</v>
      </c>
      <c r="AJ22" s="14">
        <f t="shared" si="21"/>
        <v>8.5843622828508199E-4</v>
      </c>
      <c r="AK22" s="14">
        <f t="shared" si="22"/>
        <v>1.4687893515173536E-2</v>
      </c>
      <c r="AL22" s="14">
        <f t="shared" si="23"/>
        <v>0.94121820209344498</v>
      </c>
      <c r="AM22" s="14">
        <f t="shared" si="24"/>
        <v>0.16636997291251895</v>
      </c>
      <c r="AN22" s="14">
        <f t="shared" si="25"/>
        <v>2.3686262626427267E-6</v>
      </c>
      <c r="AO22" s="14">
        <f t="shared" si="26"/>
        <v>0.16798814666740028</v>
      </c>
      <c r="AP22" s="14">
        <f t="shared" si="46"/>
        <v>1.4687893515173536E-2</v>
      </c>
      <c r="AQ22" s="14">
        <f t="shared" si="30"/>
        <v>0.94121820209344498</v>
      </c>
      <c r="AR22" s="14">
        <f t="shared" si="47"/>
        <v>0.16895508699299006</v>
      </c>
      <c r="AS22" s="14">
        <f t="shared" si="32"/>
        <v>2.3686262626427267E-6</v>
      </c>
      <c r="AT22" s="14">
        <f t="shared" si="51"/>
        <v>0.16693564882383791</v>
      </c>
      <c r="AU22" s="10">
        <f>$AU$21+(($AU$27-$AU$21)/($D$27-$D$21))*(D22-$D$21)</f>
        <v>2.2522155741458653E-2</v>
      </c>
      <c r="AV22" s="10">
        <f>$AV$21+(($AV$27-$AV$21)/($D$27-$D$21))*(D22-$D$21)</f>
        <v>3.3496575454346194</v>
      </c>
      <c r="AW22" s="10">
        <f>$AW$21+(($AW$27-$AW$21)/($D$27-$D$21))*(D22-$D$21)</f>
        <v>0.19676661308140636</v>
      </c>
      <c r="AX22" s="10">
        <f>$AX$21+(($AX$27-$AX$21)/($D$27-$D$21))*(D22-$D$21)</f>
        <v>3.4661361063013193E-6</v>
      </c>
      <c r="AY22" s="10">
        <f>$AY$21+(($AY$27-$AY$21)/($D$27-$D$21))*(D22-$D$21)</f>
        <v>0.26509142266341773</v>
      </c>
      <c r="AZ22" s="10">
        <f t="shared" si="48"/>
        <v>0.65215309243848918</v>
      </c>
      <c r="BA22" s="10">
        <f t="shared" si="49"/>
        <v>0.28098938154924774</v>
      </c>
      <c r="BB22" s="10">
        <f t="shared" si="35"/>
        <v>0.85865729123004164</v>
      </c>
      <c r="BC22" s="10">
        <f t="shared" si="45"/>
        <v>0.68336216178488884</v>
      </c>
      <c r="BD22" s="10">
        <f t="shared" si="37"/>
        <v>0.62972859380589385</v>
      </c>
      <c r="BG22" s="12">
        <v>100.00000000000004</v>
      </c>
      <c r="BH22" s="10">
        <v>0.848348464660862</v>
      </c>
    </row>
    <row r="23" spans="2:60" x14ac:dyDescent="0.25">
      <c r="B23" s="10" t="s">
        <v>106</v>
      </c>
      <c r="C23" s="14" t="s">
        <v>117</v>
      </c>
      <c r="D23" s="12">
        <f t="shared" si="38"/>
        <v>200</v>
      </c>
      <c r="E23" s="9">
        <f t="shared" si="50"/>
        <v>0.1388888888888889</v>
      </c>
      <c r="F23" s="9">
        <v>0.59166666666666667</v>
      </c>
      <c r="G23" s="11">
        <v>9.9547000000000008</v>
      </c>
      <c r="H23" s="11">
        <v>18.7941</v>
      </c>
      <c r="I23" s="11">
        <v>14.6683</v>
      </c>
      <c r="J23" s="11">
        <f t="shared" si="1"/>
        <v>4.1257999999999999</v>
      </c>
      <c r="K23" s="11">
        <f t="shared" si="2"/>
        <v>4.7135999999999996</v>
      </c>
      <c r="L23" s="18">
        <v>104692</v>
      </c>
      <c r="M23" s="19">
        <v>9261</v>
      </c>
      <c r="N23" s="20">
        <v>4685559</v>
      </c>
      <c r="O23" s="21">
        <v>99407</v>
      </c>
      <c r="P23" s="17">
        <v>1576340</v>
      </c>
      <c r="Q23" s="14">
        <f t="shared" si="3"/>
        <v>14.853877417974758</v>
      </c>
      <c r="R23" s="14">
        <f t="shared" si="4"/>
        <v>1890.341897724448</v>
      </c>
      <c r="S23" s="14">
        <f t="shared" si="5"/>
        <v>65.545618255946295</v>
      </c>
      <c r="T23" s="14">
        <f t="shared" si="0"/>
        <v>4.9762800000000007E-4</v>
      </c>
      <c r="U23" s="14">
        <f t="shared" si="6"/>
        <v>301.11204892733298</v>
      </c>
      <c r="V23" s="14">
        <f t="shared" si="7"/>
        <v>1.8390585631194546E-2</v>
      </c>
      <c r="W23" s="14">
        <f t="shared" si="8"/>
        <v>1.1526474986124682</v>
      </c>
      <c r="X23" s="14">
        <f t="shared" si="9"/>
        <v>0.11853269605405327</v>
      </c>
      <c r="Y23" s="14">
        <f t="shared" si="10"/>
        <v>3.0048271524000001E-6</v>
      </c>
      <c r="Z23" s="14">
        <f t="shared" si="11"/>
        <v>0.19783061614525776</v>
      </c>
      <c r="AA23" s="14">
        <f t="shared" si="12"/>
        <v>8.4864657852115187E-4</v>
      </c>
      <c r="AB23" s="14">
        <f t="shared" si="13"/>
        <v>2.7977060086321831E-3</v>
      </c>
      <c r="AC23" s="14">
        <f t="shared" si="14"/>
        <v>7.0674235156382825E-2</v>
      </c>
      <c r="AD23" s="14">
        <f t="shared" si="15"/>
        <v>1.7444050963200002E-8</v>
      </c>
      <c r="AE23" s="14">
        <f t="shared" si="16"/>
        <v>7.2447558971916312E-3</v>
      </c>
      <c r="AF23" s="14">
        <f t="shared" si="17"/>
        <v>7.9876058709699759E-5</v>
      </c>
      <c r="AG23" s="14">
        <f t="shared" si="18"/>
        <v>4.7687803168176097E-3</v>
      </c>
      <c r="AH23" s="14">
        <f t="shared" si="19"/>
        <v>8.2217227221293907E-4</v>
      </c>
      <c r="AI23" s="14">
        <f t="shared" si="20"/>
        <v>1.247954014399206E-8</v>
      </c>
      <c r="AJ23" s="14">
        <f t="shared" si="21"/>
        <v>8.5035843748910696E-4</v>
      </c>
      <c r="AK23" s="14">
        <f t="shared" si="22"/>
        <v>1.6945871246966174E-2</v>
      </c>
      <c r="AL23" s="14">
        <f t="shared" si="23"/>
        <v>1.0117066184694523</v>
      </c>
      <c r="AM23" s="14">
        <f t="shared" si="24"/>
        <v>0.1744255499433425</v>
      </c>
      <c r="AN23" s="14">
        <f t="shared" si="25"/>
        <v>2.6475602817362653E-6</v>
      </c>
      <c r="AO23" s="14">
        <f t="shared" si="26"/>
        <v>0.18040530326907397</v>
      </c>
      <c r="AP23" s="14">
        <f t="shared" si="46"/>
        <v>1.6945871246966174E-2</v>
      </c>
      <c r="AQ23" s="14">
        <f t="shared" si="30"/>
        <v>1.0117066184694523</v>
      </c>
      <c r="AR23" s="14">
        <f t="shared" si="47"/>
        <v>0.1770106640238136</v>
      </c>
      <c r="AS23" s="14">
        <f t="shared" si="32"/>
        <v>2.6475602817362653E-6</v>
      </c>
      <c r="AT23" s="14">
        <f t="shared" si="51"/>
        <v>0.1793528054255116</v>
      </c>
      <c r="AU23" s="10">
        <f t="shared" ref="AU23:AU26" si="53">$AU$21+(($AU$27-$AU$21)/($D$27-$D$21))*(D23-$D$21)</f>
        <v>2.2578969556292825E-2</v>
      </c>
      <c r="AV23" s="10">
        <f t="shared" ref="AV23:AV26" si="54">$AV$21+(($AV$27-$AV$21)/($D$27-$D$21))*(D23-$D$21)</f>
        <v>3.3130714887706332</v>
      </c>
      <c r="AW23" s="10">
        <f t="shared" ref="AW23:AW26" si="55">$AW$21+(($AW$27-$AW$21)/($D$27-$D$21))*(D23-$D$21)</f>
        <v>0.19664593727625557</v>
      </c>
      <c r="AX23" s="10">
        <f t="shared" ref="AX23:AX26" si="56">$AX$21+(($AX$27-$AX$21)/($D$27-$D$21))*(D23-$D$21)</f>
        <v>3.4785917222281503E-6</v>
      </c>
      <c r="AY23" s="10">
        <f t="shared" ref="AY23:AY26" si="57">$AY$21+(($AY$27-$AY$21)/($D$27-$D$21))*(D23-$D$21)</f>
        <v>0.26486396491484265</v>
      </c>
      <c r="AZ23" s="10">
        <f t="shared" si="48"/>
        <v>0.75051570465682793</v>
      </c>
      <c r="BA23" s="10">
        <f t="shared" si="49"/>
        <v>0.30536818233429119</v>
      </c>
      <c r="BB23" s="10">
        <f t="shared" si="35"/>
        <v>0.90014910287794248</v>
      </c>
      <c r="BC23" s="10">
        <f t="shared" si="45"/>
        <v>0.76110118494745838</v>
      </c>
      <c r="BD23" s="10">
        <f t="shared" si="37"/>
        <v>0.67715064781717649</v>
      </c>
      <c r="BF23" s="14"/>
      <c r="BG23" s="11">
        <v>113</v>
      </c>
      <c r="BH23" s="10">
        <v>0.84865832119728557</v>
      </c>
    </row>
    <row r="24" spans="2:60" x14ac:dyDescent="0.25">
      <c r="B24" s="10" t="s">
        <v>107</v>
      </c>
      <c r="C24" s="14" t="s">
        <v>117</v>
      </c>
      <c r="D24" s="12">
        <f t="shared" si="38"/>
        <v>229.99999999999991</v>
      </c>
      <c r="E24" s="9">
        <f t="shared" si="50"/>
        <v>0.15972222222222215</v>
      </c>
      <c r="F24" s="9">
        <v>0.61249999999999993</v>
      </c>
      <c r="G24" s="11">
        <v>9.9441000000000006</v>
      </c>
      <c r="H24" s="11">
        <v>18.822199999999999</v>
      </c>
      <c r="I24" s="11">
        <v>15.218500000000001</v>
      </c>
      <c r="J24" s="11">
        <f t="shared" si="1"/>
        <v>3.6036999999999981</v>
      </c>
      <c r="K24" s="11">
        <f t="shared" si="2"/>
        <v>5.2744</v>
      </c>
      <c r="L24" s="18">
        <v>139892</v>
      </c>
      <c r="M24" s="19">
        <v>11268</v>
      </c>
      <c r="N24" s="20">
        <v>5208704</v>
      </c>
      <c r="O24" s="21">
        <v>122277</v>
      </c>
      <c r="P24" s="17">
        <v>1983424</v>
      </c>
      <c r="Q24" s="14">
        <f t="shared" si="3"/>
        <v>18.439457680985218</v>
      </c>
      <c r="R24" s="14">
        <f t="shared" si="4"/>
        <v>2343.8704720583914</v>
      </c>
      <c r="S24" s="14">
        <f t="shared" si="5"/>
        <v>73.082318873986139</v>
      </c>
      <c r="T24" s="14">
        <f t="shared" si="0"/>
        <v>5.8910800000000008E-4</v>
      </c>
      <c r="U24" s="14">
        <f t="shared" si="6"/>
        <v>378.67254124909493</v>
      </c>
      <c r="V24" s="14">
        <f t="shared" si="7"/>
        <v>2.2829892554827799E-2</v>
      </c>
      <c r="W24" s="14">
        <f t="shared" si="8"/>
        <v>1.4291893122307264</v>
      </c>
      <c r="X24" s="14">
        <f t="shared" si="9"/>
        <v>0.13216206545171655</v>
      </c>
      <c r="Y24" s="14">
        <f t="shared" si="10"/>
        <v>3.5572108364000002E-6</v>
      </c>
      <c r="Z24" s="14">
        <f t="shared" si="11"/>
        <v>0.24878785960065539</v>
      </c>
      <c r="AA24" s="14">
        <f t="shared" si="12"/>
        <v>1.0535015356877284E-3</v>
      </c>
      <c r="AB24" s="14">
        <f t="shared" si="13"/>
        <v>3.4689282986464193E-3</v>
      </c>
      <c r="AC24" s="14">
        <f t="shared" si="14"/>
        <v>7.8800644914281195E-2</v>
      </c>
      <c r="AD24" s="14">
        <f t="shared" si="15"/>
        <v>2.0650827475200004E-8</v>
      </c>
      <c r="AE24" s="14">
        <f t="shared" si="16"/>
        <v>9.1108613424532251E-3</v>
      </c>
      <c r="AF24" s="14">
        <f t="shared" si="17"/>
        <v>8.7828672299664263E-5</v>
      </c>
      <c r="AG24" s="14">
        <f t="shared" si="18"/>
        <v>5.1686660399042463E-3</v>
      </c>
      <c r="AH24" s="14">
        <f t="shared" si="19"/>
        <v>8.9189855680423544E-4</v>
      </c>
      <c r="AI24" s="14">
        <f t="shared" si="20"/>
        <v>1.2928041415569868E-8</v>
      </c>
      <c r="AJ24" s="14">
        <f t="shared" si="21"/>
        <v>9.4461113670751666E-4</v>
      </c>
      <c r="AK24" s="14">
        <f t="shared" si="22"/>
        <v>1.6651879322702914E-2</v>
      </c>
      <c r="AL24" s="14">
        <f t="shared" si="23"/>
        <v>0.97995336718949</v>
      </c>
      <c r="AM24" s="14">
        <f t="shared" si="24"/>
        <v>0.16909952919843688</v>
      </c>
      <c r="AN24" s="14">
        <f t="shared" si="25"/>
        <v>2.4510923357291573E-6</v>
      </c>
      <c r="AO24" s="14">
        <f t="shared" si="26"/>
        <v>0.17909357210441315</v>
      </c>
      <c r="AP24" s="14">
        <f t="shared" si="46"/>
        <v>1.6651879322702914E-2</v>
      </c>
      <c r="AQ24" s="14">
        <f t="shared" si="30"/>
        <v>0.97995336718949</v>
      </c>
      <c r="AR24" s="14">
        <f t="shared" si="47"/>
        <v>0.17168464327890798</v>
      </c>
      <c r="AS24" s="14">
        <f t="shared" si="32"/>
        <v>2.4510923357291573E-6</v>
      </c>
      <c r="AT24" s="14">
        <f t="shared" si="51"/>
        <v>0.17804107426085078</v>
      </c>
      <c r="AU24" s="10">
        <f t="shared" si="53"/>
        <v>2.2664190278544077E-2</v>
      </c>
      <c r="AV24" s="10">
        <f t="shared" si="54"/>
        <v>3.2581924037746544</v>
      </c>
      <c r="AW24" s="10">
        <f t="shared" si="55"/>
        <v>0.19646492356852935</v>
      </c>
      <c r="AX24" s="10">
        <f t="shared" si="56"/>
        <v>3.4972751461183964E-6</v>
      </c>
      <c r="AY24" s="10">
        <f t="shared" si="57"/>
        <v>0.26452277829198012</v>
      </c>
      <c r="AZ24" s="10">
        <f t="shared" si="48"/>
        <v>0.73472200498012286</v>
      </c>
      <c r="BA24" s="10">
        <f t="shared" si="49"/>
        <v>0.30076596030799241</v>
      </c>
      <c r="BB24" s="10">
        <f t="shared" si="35"/>
        <v>0.87386918825243776</v>
      </c>
      <c r="BC24" s="10">
        <f t="shared" si="45"/>
        <v>0.70085773447068045</v>
      </c>
      <c r="BD24" s="10">
        <f t="shared" si="37"/>
        <v>0.67306519087112082</v>
      </c>
      <c r="BG24" s="12">
        <v>119.99999999999997</v>
      </c>
      <c r="BH24" s="10">
        <v>0.88715799584792232</v>
      </c>
    </row>
    <row r="25" spans="2:60" x14ac:dyDescent="0.25">
      <c r="B25" s="10" t="s">
        <v>108</v>
      </c>
      <c r="C25" s="14" t="s">
        <v>117</v>
      </c>
      <c r="D25" s="12">
        <f t="shared" si="38"/>
        <v>259.99999999999994</v>
      </c>
      <c r="E25" s="9">
        <f t="shared" si="50"/>
        <v>0.18055555555555552</v>
      </c>
      <c r="F25" s="9">
        <v>0.6333333333333333</v>
      </c>
      <c r="G25" s="11">
        <v>9.8870000000000005</v>
      </c>
      <c r="H25" s="11">
        <v>18.939800000000002</v>
      </c>
      <c r="I25" s="11">
        <v>14.8271</v>
      </c>
      <c r="J25" s="11">
        <f t="shared" si="1"/>
        <v>4.112700000000002</v>
      </c>
      <c r="K25" s="11">
        <f t="shared" si="2"/>
        <v>4.9400999999999993</v>
      </c>
      <c r="L25" s="18">
        <v>112270</v>
      </c>
      <c r="M25" s="19">
        <v>9741</v>
      </c>
      <c r="N25" s="20">
        <v>4894991</v>
      </c>
      <c r="O25" s="21">
        <v>101434</v>
      </c>
      <c r="P25" s="17">
        <v>1716365</v>
      </c>
      <c r="Q25" s="14">
        <f t="shared" si="3"/>
        <v>15.625795805278544</v>
      </c>
      <c r="R25" s="14">
        <f t="shared" si="4"/>
        <v>1998.8091202856303</v>
      </c>
      <c r="S25" s="14">
        <f t="shared" si="5"/>
        <v>68.562805238211865</v>
      </c>
      <c r="T25" s="14">
        <f t="shared" si="0"/>
        <v>5.0573600000000001E-4</v>
      </c>
      <c r="U25" s="14">
        <f t="shared" si="6"/>
        <v>327.79059177685474</v>
      </c>
      <c r="V25" s="14">
        <f t="shared" si="7"/>
        <v>1.9346297786515365E-2</v>
      </c>
      <c r="W25" s="14">
        <f t="shared" si="8"/>
        <v>1.2187860489546527</v>
      </c>
      <c r="X25" s="14">
        <f t="shared" si="9"/>
        <v>0.12398897699278234</v>
      </c>
      <c r="Y25" s="14">
        <f t="shared" si="10"/>
        <v>3.0537856887999998E-6</v>
      </c>
      <c r="Z25" s="14">
        <f t="shared" si="11"/>
        <v>0.21535841879739359</v>
      </c>
      <c r="AA25" s="14">
        <f t="shared" si="12"/>
        <v>8.9274859174297901E-4</v>
      </c>
      <c r="AB25" s="14">
        <f t="shared" si="13"/>
        <v>2.9582374980227327E-3</v>
      </c>
      <c r="AC25" s="14">
        <f t="shared" si="14"/>
        <v>7.3927501934075768E-2</v>
      </c>
      <c r="AD25" s="14">
        <f t="shared" si="15"/>
        <v>1.7728272038400003E-8</v>
      </c>
      <c r="AE25" s="14">
        <f t="shared" si="16"/>
        <v>7.8866416381511255E-3</v>
      </c>
      <c r="AF25" s="14">
        <f t="shared" si="17"/>
        <v>8.3975786224671273E-5</v>
      </c>
      <c r="AG25" s="14">
        <f t="shared" si="18"/>
        <v>5.0271153725997848E-3</v>
      </c>
      <c r="AH25" s="14">
        <f t="shared" si="19"/>
        <v>8.7513871798274381E-4</v>
      </c>
      <c r="AI25" s="14">
        <f t="shared" si="20"/>
        <v>1.2646883839024666E-8</v>
      </c>
      <c r="AJ25" s="14">
        <f t="shared" si="21"/>
        <v>9.2466536734467147E-4</v>
      </c>
      <c r="AK25" s="14">
        <f t="shared" si="22"/>
        <v>1.6998802903720835E-2</v>
      </c>
      <c r="AL25" s="14">
        <f t="shared" si="23"/>
        <v>1.01761409133414</v>
      </c>
      <c r="AM25" s="14">
        <f t="shared" si="24"/>
        <v>0.17715000060378211</v>
      </c>
      <c r="AN25" s="14">
        <f t="shared" si="25"/>
        <v>2.5600461203264444E-6</v>
      </c>
      <c r="AO25" s="14">
        <f t="shared" si="26"/>
        <v>0.18717543518241969</v>
      </c>
      <c r="AP25" s="14">
        <f t="shared" si="46"/>
        <v>1.6998802903720835E-2</v>
      </c>
      <c r="AQ25" s="14">
        <f t="shared" si="30"/>
        <v>1.01761409133414</v>
      </c>
      <c r="AR25" s="14">
        <f t="shared" si="47"/>
        <v>0.17973511468425321</v>
      </c>
      <c r="AS25" s="14">
        <f t="shared" si="32"/>
        <v>2.5600461203264444E-6</v>
      </c>
      <c r="AT25" s="14">
        <f t="shared" si="51"/>
        <v>0.18612293733885732</v>
      </c>
      <c r="AU25" s="10">
        <f t="shared" si="53"/>
        <v>2.274941100079533E-2</v>
      </c>
      <c r="AV25" s="10">
        <f t="shared" si="54"/>
        <v>3.2033133187786751</v>
      </c>
      <c r="AW25" s="10">
        <f t="shared" si="55"/>
        <v>0.19628390986080316</v>
      </c>
      <c r="AX25" s="10">
        <f t="shared" si="56"/>
        <v>3.5159585700086429E-6</v>
      </c>
      <c r="AY25" s="10">
        <f t="shared" si="57"/>
        <v>0.26418159166911759</v>
      </c>
      <c r="AZ25" s="10">
        <f t="shared" si="48"/>
        <v>0.74721947320423143</v>
      </c>
      <c r="BA25" s="10">
        <f t="shared" si="49"/>
        <v>0.31767547850177985</v>
      </c>
      <c r="BB25" s="10">
        <f t="shared" si="35"/>
        <v>0.91568949697259594</v>
      </c>
      <c r="BC25" s="10">
        <f t="shared" si="45"/>
        <v>0.72812181069589543</v>
      </c>
      <c r="BD25" s="10">
        <f t="shared" si="37"/>
        <v>0.70452651966747459</v>
      </c>
      <c r="BF25" s="14"/>
      <c r="BG25" s="11">
        <v>130</v>
      </c>
      <c r="BH25" s="10">
        <v>0.89199950422954166</v>
      </c>
    </row>
    <row r="26" spans="2:60" x14ac:dyDescent="0.25">
      <c r="B26" s="10" t="s">
        <v>109</v>
      </c>
      <c r="C26" s="14" t="s">
        <v>117</v>
      </c>
      <c r="D26" s="12">
        <f t="shared" si="38"/>
        <v>290</v>
      </c>
      <c r="E26" s="9">
        <f t="shared" si="50"/>
        <v>0.2013888888888889</v>
      </c>
      <c r="F26" s="9">
        <v>0.65416666666666667</v>
      </c>
      <c r="G26" s="11">
        <v>10.0862</v>
      </c>
      <c r="H26" s="11">
        <v>19.020900000000001</v>
      </c>
      <c r="I26" s="11">
        <v>15.206099999999999</v>
      </c>
      <c r="J26" s="11">
        <f t="shared" si="1"/>
        <v>3.8148000000000017</v>
      </c>
      <c r="K26" s="11">
        <f t="shared" si="2"/>
        <v>5.1198999999999995</v>
      </c>
      <c r="L26" s="18">
        <v>126404</v>
      </c>
      <c r="M26" s="19">
        <v>10375</v>
      </c>
      <c r="N26" s="20">
        <v>5181422</v>
      </c>
      <c r="O26" s="21">
        <v>108686</v>
      </c>
      <c r="P26" s="17">
        <v>1854470</v>
      </c>
      <c r="Q26" s="14">
        <f t="shared" si="3"/>
        <v>17.06552851656803</v>
      </c>
      <c r="R26" s="14">
        <f t="shared" si="4"/>
        <v>2142.0762434185253</v>
      </c>
      <c r="S26" s="14">
        <f t="shared" si="5"/>
        <v>72.689280106032015</v>
      </c>
      <c r="T26" s="14">
        <f t="shared" si="0"/>
        <v>5.3474400000000008E-4</v>
      </c>
      <c r="U26" s="14">
        <f t="shared" si="6"/>
        <v>354.10332279083946</v>
      </c>
      <c r="V26" s="14">
        <f t="shared" si="7"/>
        <v>2.1128830856362878E-2</v>
      </c>
      <c r="W26" s="14">
        <f t="shared" si="8"/>
        <v>1.3061440508649544</v>
      </c>
      <c r="X26" s="14">
        <f t="shared" si="9"/>
        <v>0.13145129414374829</v>
      </c>
      <c r="Y26" s="14">
        <f t="shared" si="10"/>
        <v>3.2289446952000003E-6</v>
      </c>
      <c r="Z26" s="14">
        <f t="shared" si="11"/>
        <v>0.23264588307358156</v>
      </c>
      <c r="AA26" s="14">
        <f t="shared" si="12"/>
        <v>9.7500484073708121E-4</v>
      </c>
      <c r="AB26" s="14">
        <f t="shared" si="13"/>
        <v>3.1702728402594176E-3</v>
      </c>
      <c r="AC26" s="14">
        <f t="shared" si="14"/>
        <v>7.8376852827928487E-2</v>
      </c>
      <c r="AD26" s="14">
        <f t="shared" si="15"/>
        <v>1.8745130073600005E-8</v>
      </c>
      <c r="AE26" s="14">
        <f t="shared" si="16"/>
        <v>8.5197259463475963E-3</v>
      </c>
      <c r="AF26" s="14">
        <f t="shared" si="17"/>
        <v>8.5594191234942928E-5</v>
      </c>
      <c r="AG26" s="14">
        <f t="shared" si="18"/>
        <v>4.9989098051544745E-3</v>
      </c>
      <c r="AH26" s="14">
        <f t="shared" si="19"/>
        <v>9.0274204569328227E-4</v>
      </c>
      <c r="AI26" s="14">
        <f t="shared" si="20"/>
        <v>1.2413751414712792E-8</v>
      </c>
      <c r="AJ26" s="14">
        <f t="shared" si="21"/>
        <v>9.3111765962180441E-4</v>
      </c>
      <c r="AK26" s="14">
        <f t="shared" si="22"/>
        <v>1.6717941997879439E-2</v>
      </c>
      <c r="AL26" s="14">
        <f t="shared" si="23"/>
        <v>0.97636864101925336</v>
      </c>
      <c r="AM26" s="14">
        <f t="shared" si="24"/>
        <v>0.17632024955434333</v>
      </c>
      <c r="AN26" s="14">
        <f t="shared" si="25"/>
        <v>2.4246081788145851E-6</v>
      </c>
      <c r="AO26" s="14">
        <f t="shared" si="26"/>
        <v>0.18186246989624888</v>
      </c>
      <c r="AP26" s="14">
        <f t="shared" si="46"/>
        <v>1.6717941997879439E-2</v>
      </c>
      <c r="AQ26" s="14">
        <f t="shared" si="30"/>
        <v>0.97636864101925336</v>
      </c>
      <c r="AR26" s="14">
        <f t="shared" si="47"/>
        <v>0.17890536363481443</v>
      </c>
      <c r="AS26" s="14">
        <f t="shared" si="32"/>
        <v>2.4246081788145851E-6</v>
      </c>
      <c r="AT26" s="14">
        <f t="shared" si="51"/>
        <v>0.18080997205268651</v>
      </c>
      <c r="AU26" s="10">
        <f t="shared" si="53"/>
        <v>2.2834631723046585E-2</v>
      </c>
      <c r="AV26" s="10">
        <f t="shared" si="54"/>
        <v>3.1484342337826958</v>
      </c>
      <c r="AW26" s="10">
        <f t="shared" si="55"/>
        <v>0.19610289615307694</v>
      </c>
      <c r="AX26" s="10">
        <f t="shared" si="56"/>
        <v>3.5346419938988893E-6</v>
      </c>
      <c r="AY26" s="10">
        <f t="shared" si="57"/>
        <v>0.263840405046255</v>
      </c>
      <c r="AZ26" s="10">
        <f t="shared" si="48"/>
        <v>0.7321310105039408</v>
      </c>
      <c r="BA26" s="10">
        <f t="shared" si="49"/>
        <v>0.31011244590813392</v>
      </c>
      <c r="BB26" s="10">
        <f t="shared" si="35"/>
        <v>0.91230352607929766</v>
      </c>
      <c r="BC26" s="10">
        <f t="shared" si="45"/>
        <v>0.68595580061564287</v>
      </c>
      <c r="BD26" s="10">
        <f t="shared" si="37"/>
        <v>0.68530054000253648</v>
      </c>
      <c r="BF26" s="14"/>
      <c r="BG26" s="12">
        <v>139.99999999999991</v>
      </c>
      <c r="BH26" s="10">
        <v>0.93491463452421519</v>
      </c>
    </row>
    <row r="27" spans="2:60" s="4" customFormat="1" x14ac:dyDescent="0.25">
      <c r="B27" s="4" t="s">
        <v>110</v>
      </c>
      <c r="C27" s="5" t="s">
        <v>44</v>
      </c>
      <c r="D27" s="6">
        <f t="shared" si="38"/>
        <v>312.99999999999994</v>
      </c>
      <c r="E27" s="7">
        <f t="shared" si="50"/>
        <v>0.21736111111111106</v>
      </c>
      <c r="F27" s="7">
        <v>0.67013888888888884</v>
      </c>
      <c r="G27" s="8">
        <v>9.8274000000000008</v>
      </c>
      <c r="H27" s="8">
        <v>18.877199999999998</v>
      </c>
      <c r="I27" s="8">
        <v>14.6305</v>
      </c>
      <c r="J27" s="8">
        <f t="shared" si="1"/>
        <v>4.2466999999999988</v>
      </c>
      <c r="K27" s="8">
        <f t="shared" si="2"/>
        <v>4.8030999999999988</v>
      </c>
      <c r="L27" s="13">
        <v>154051</v>
      </c>
      <c r="M27" s="13">
        <v>26324</v>
      </c>
      <c r="N27" s="13">
        <v>5149749</v>
      </c>
      <c r="O27" s="13">
        <v>140103</v>
      </c>
      <c r="P27" s="13">
        <v>2291881</v>
      </c>
      <c r="Q27" s="5">
        <f t="shared" si="3"/>
        <v>19.881736969166045</v>
      </c>
      <c r="R27" s="5">
        <f t="shared" si="4"/>
        <v>5746.1256863941435</v>
      </c>
      <c r="S27" s="5">
        <f t="shared" si="5"/>
        <v>72.232982294382893</v>
      </c>
      <c r="T27" s="5">
        <f t="shared" si="0"/>
        <v>6.6041200000000009E-4</v>
      </c>
      <c r="U27" s="5">
        <f t="shared" si="6"/>
        <v>437.44192737110848</v>
      </c>
      <c r="V27" s="5">
        <f t="shared" si="7"/>
        <v>2.4615578541524481E-2</v>
      </c>
      <c r="W27" s="5">
        <f t="shared" si="8"/>
        <v>3.5037351746305752</v>
      </c>
      <c r="X27" s="5">
        <f t="shared" si="9"/>
        <v>0.13062612518116204</v>
      </c>
      <c r="Y27" s="5">
        <f t="shared" si="10"/>
        <v>3.9877657795999998E-6</v>
      </c>
      <c r="Z27" s="5">
        <f t="shared" si="11"/>
        <v>0.28739934628281832</v>
      </c>
      <c r="AA27" s="5">
        <f t="shared" si="12"/>
        <v>1.1359032782593639E-3</v>
      </c>
      <c r="AB27" s="5">
        <f t="shared" si="13"/>
        <v>8.5042660158633331E-3</v>
      </c>
      <c r="AC27" s="5">
        <f t="shared" si="14"/>
        <v>7.7884851994006882E-2</v>
      </c>
      <c r="AD27" s="5">
        <f t="shared" si="15"/>
        <v>2.3150346412800005E-8</v>
      </c>
      <c r="AE27" s="5">
        <f t="shared" si="16"/>
        <v>1.052485277254887E-2</v>
      </c>
      <c r="AF27" s="5">
        <f t="shared" si="17"/>
        <v>1.0999083442809953E-4</v>
      </c>
      <c r="AG27" s="5">
        <f t="shared" si="18"/>
        <v>1.4920159006204452E-2</v>
      </c>
      <c r="AH27" s="5">
        <f t="shared" si="19"/>
        <v>9.2881869841925503E-4</v>
      </c>
      <c r="AI27" s="5">
        <f t="shared" si="20"/>
        <v>1.7046038365082637E-8</v>
      </c>
      <c r="AJ27" s="5">
        <f t="shared" si="21"/>
        <v>1.2710507242110736E-3</v>
      </c>
      <c r="AK27" s="5">
        <f t="shared" si="22"/>
        <v>2.2899967610105879E-2</v>
      </c>
      <c r="AL27" s="5">
        <f t="shared" si="23"/>
        <v>3.1063602686191119</v>
      </c>
      <c r="AM27" s="5">
        <f t="shared" si="24"/>
        <v>0.19337900489668242</v>
      </c>
      <c r="AN27" s="5">
        <f t="shared" si="25"/>
        <v>3.5489659522147449E-6</v>
      </c>
      <c r="AO27" s="5">
        <f t="shared" si="26"/>
        <v>0.2646313264789561</v>
      </c>
      <c r="AP27" s="5">
        <f t="shared" si="46"/>
        <v>2.2899967610105879E-2</v>
      </c>
      <c r="AQ27" s="5">
        <f t="shared" si="30"/>
        <v>3.1063602686191119</v>
      </c>
      <c r="AR27" s="5">
        <f t="shared" si="47"/>
        <v>0.19596411897715352</v>
      </c>
      <c r="AS27" s="5">
        <f t="shared" si="32"/>
        <v>3.5489659522147449E-6</v>
      </c>
      <c r="AT27" s="5">
        <f t="shared" si="51"/>
        <v>0.26357882863539372</v>
      </c>
      <c r="AU27" s="4">
        <f>AP27</f>
        <v>2.2899967610105879E-2</v>
      </c>
      <c r="AV27" s="4">
        <f t="shared" ref="AV27:AY27" si="58">AQ27</f>
        <v>3.1063602686191119</v>
      </c>
      <c r="AW27" s="4">
        <f t="shared" si="58"/>
        <v>0.19596411897715352</v>
      </c>
      <c r="AX27" s="4">
        <f t="shared" si="58"/>
        <v>3.5489659522147449E-6</v>
      </c>
      <c r="AY27" s="4">
        <f t="shared" si="58"/>
        <v>0.26357882863539372</v>
      </c>
      <c r="AZ27" s="4">
        <f t="shared" si="48"/>
        <v>1</v>
      </c>
      <c r="BA27" s="4">
        <f t="shared" si="49"/>
        <v>1</v>
      </c>
      <c r="BB27" s="4">
        <f t="shared" si="35"/>
        <v>1</v>
      </c>
      <c r="BC27" s="4">
        <f t="shared" si="45"/>
        <v>1</v>
      </c>
      <c r="BD27" s="4">
        <f t="shared" si="37"/>
        <v>1</v>
      </c>
      <c r="BF27" s="5"/>
      <c r="BG27" s="11">
        <v>150</v>
      </c>
      <c r="BH27" s="10">
        <v>0.91946053977008624</v>
      </c>
    </row>
    <row r="28" spans="2:60" x14ac:dyDescent="0.25">
      <c r="B28" s="10" t="s">
        <v>111</v>
      </c>
      <c r="C28" s="14" t="s">
        <v>117</v>
      </c>
      <c r="D28" s="12">
        <f t="shared" si="38"/>
        <v>329.00000000000006</v>
      </c>
      <c r="E28" s="9">
        <f>F28-$F$3</f>
        <v>0.22847222222222224</v>
      </c>
      <c r="F28" s="9">
        <v>0.68125000000000002</v>
      </c>
      <c r="G28" s="11">
        <v>10.0029</v>
      </c>
      <c r="H28" s="11">
        <v>18.8169</v>
      </c>
      <c r="I28" s="11">
        <v>14.6922</v>
      </c>
      <c r="J28" s="11">
        <f t="shared" si="1"/>
        <v>4.1247000000000007</v>
      </c>
      <c r="K28" s="11">
        <f t="shared" si="2"/>
        <v>4.6892999999999994</v>
      </c>
      <c r="L28" s="18">
        <v>118044</v>
      </c>
      <c r="M28" s="19">
        <v>9431</v>
      </c>
      <c r="N28" s="20">
        <v>4862220</v>
      </c>
      <c r="O28" s="21">
        <v>103272</v>
      </c>
      <c r="P28" s="17">
        <v>1704024</v>
      </c>
      <c r="Q28" s="14">
        <f t="shared" si="3"/>
        <v>16.213953204103046</v>
      </c>
      <c r="R28" s="14">
        <f t="shared" si="4"/>
        <v>1928.7573723815335</v>
      </c>
      <c r="S28" s="14">
        <f t="shared" si="5"/>
        <v>68.090689064008188</v>
      </c>
      <c r="T28" s="14">
        <f t="shared" si="0"/>
        <v>5.1308800000000009E-4</v>
      </c>
      <c r="U28" s="14">
        <f t="shared" si="6"/>
        <v>325.43929809854052</v>
      </c>
      <c r="V28" s="14">
        <f t="shared" si="7"/>
        <v>2.0074495461999981E-2</v>
      </c>
      <c r="W28" s="14">
        <f t="shared" si="8"/>
        <v>1.1760715685253254</v>
      </c>
      <c r="X28" s="14">
        <f t="shared" si="9"/>
        <v>0.1231352021033524</v>
      </c>
      <c r="Y28" s="14">
        <f t="shared" si="10"/>
        <v>3.0981792704000005E-6</v>
      </c>
      <c r="Z28" s="14">
        <f t="shared" si="11"/>
        <v>0.21381361885074113</v>
      </c>
      <c r="AA28" s="14">
        <f t="shared" si="12"/>
        <v>9.2635178841001952E-4</v>
      </c>
      <c r="AB28" s="14">
        <f t="shared" si="13"/>
        <v>2.8545609111246695E-3</v>
      </c>
      <c r="AC28" s="14">
        <f t="shared" si="14"/>
        <v>7.3418445029821505E-2</v>
      </c>
      <c r="AD28" s="14">
        <f t="shared" si="15"/>
        <v>1.7985991987200006E-8</v>
      </c>
      <c r="AE28" s="14">
        <f t="shared" si="16"/>
        <v>7.8300695122508843E-3</v>
      </c>
      <c r="AF28" s="14">
        <f t="shared" si="17"/>
        <v>8.7145212873502456E-5</v>
      </c>
      <c r="AG28" s="14">
        <f t="shared" si="18"/>
        <v>4.8643282911769465E-3</v>
      </c>
      <c r="AH28" s="14">
        <f t="shared" si="19"/>
        <v>8.5217688239403963E-4</v>
      </c>
      <c r="AI28" s="14">
        <f t="shared" si="20"/>
        <v>1.2863401748844461E-8</v>
      </c>
      <c r="AJ28" s="14">
        <f t="shared" si="21"/>
        <v>9.1863457863745012E-4</v>
      </c>
      <c r="AK28" s="14">
        <f t="shared" si="22"/>
        <v>1.858384255080768E-2</v>
      </c>
      <c r="AL28" s="14">
        <f t="shared" si="23"/>
        <v>1.0373250359706028</v>
      </c>
      <c r="AM28" s="14">
        <f t="shared" si="24"/>
        <v>0.18172795137739955</v>
      </c>
      <c r="AN28" s="14">
        <f t="shared" si="25"/>
        <v>2.7431390077078589E-6</v>
      </c>
      <c r="AO28" s="14">
        <f t="shared" si="26"/>
        <v>0.19590015111796011</v>
      </c>
      <c r="AP28" s="14">
        <f t="shared" si="46"/>
        <v>1.858384255080768E-2</v>
      </c>
      <c r="AQ28" s="14">
        <f t="shared" si="30"/>
        <v>1.0373250359706028</v>
      </c>
      <c r="AR28" s="14">
        <f t="shared" si="47"/>
        <v>0.18431306545787066</v>
      </c>
      <c r="AS28" s="14">
        <f t="shared" si="32"/>
        <v>2.7431390077078589E-6</v>
      </c>
      <c r="AT28" s="14">
        <f t="shared" si="51"/>
        <v>0.19484765327439774</v>
      </c>
      <c r="AU28" s="10">
        <f>$AU$27+(($AU$31-$AU$27)/($D$31-$D$27))*(D28-$D$27)</f>
        <v>2.2856768949347708E-2</v>
      </c>
      <c r="AV28" s="10">
        <f>$AV$27+(($AV$31-$AV$27)/($D$31-$D$27))*(D28-$D$27)</f>
        <v>3.0681592976301291</v>
      </c>
      <c r="AW28" s="10">
        <f>$AW$27+(($AW$31-$AW$27)/($D$31-$D$27))*(D28-$D$27)</f>
        <v>0.19544883462762219</v>
      </c>
      <c r="AX28" s="10">
        <f>$AX$27+(($AX$31-$AX$27)/($D$31-$D$27))*(D28-$D$27)</f>
        <v>3.5453612239328319E-6</v>
      </c>
      <c r="AY28" s="10">
        <f>$AY$27+(($AY$31-$AY$27)/($D$31-$D$27))*(D28-$D$27)</f>
        <v>0.26263440346779182</v>
      </c>
      <c r="AZ28" s="10">
        <f t="shared" si="48"/>
        <v>0.81305641195353773</v>
      </c>
      <c r="BA28" s="10">
        <f t="shared" si="49"/>
        <v>0.33809360445262443</v>
      </c>
      <c r="BB28" s="10">
        <f t="shared" si="35"/>
        <v>0.94302463255425439</v>
      </c>
      <c r="BC28" s="10">
        <f t="shared" si="45"/>
        <v>0.77372623956915842</v>
      </c>
      <c r="BD28" s="10">
        <f t="shared" si="37"/>
        <v>0.74189691335808894</v>
      </c>
      <c r="BG28" s="12">
        <v>161</v>
      </c>
      <c r="BH28" s="10">
        <v>0.94560468503083051</v>
      </c>
    </row>
    <row r="29" spans="2:60" x14ac:dyDescent="0.25">
      <c r="B29" s="10" t="s">
        <v>112</v>
      </c>
      <c r="C29" s="14" t="s">
        <v>117</v>
      </c>
      <c r="D29" s="12">
        <f t="shared" si="38"/>
        <v>372.99999999999989</v>
      </c>
      <c r="E29" s="9">
        <f t="shared" ref="E29:E37" si="59">F29-$F$3</f>
        <v>0.25902777777777769</v>
      </c>
      <c r="F29" s="9">
        <v>0.71180555555555547</v>
      </c>
      <c r="G29" s="11">
        <v>9.7835000000000001</v>
      </c>
      <c r="H29" s="11">
        <v>18.777100000000001</v>
      </c>
      <c r="I29" s="11">
        <v>14.7995</v>
      </c>
      <c r="J29" s="11">
        <f t="shared" si="1"/>
        <v>3.9776000000000007</v>
      </c>
      <c r="K29" s="11">
        <f t="shared" si="2"/>
        <v>5.016</v>
      </c>
      <c r="L29" s="18">
        <v>125050</v>
      </c>
      <c r="M29" s="19">
        <v>9978</v>
      </c>
      <c r="N29" s="20">
        <v>5096628</v>
      </c>
      <c r="O29" s="21">
        <v>112225</v>
      </c>
      <c r="P29" s="17">
        <v>1876670</v>
      </c>
      <c r="Q29" s="14">
        <f t="shared" si="3"/>
        <v>16.927605912132911</v>
      </c>
      <c r="R29" s="14">
        <f t="shared" si="4"/>
        <v>2052.3648114252142</v>
      </c>
      <c r="S29" s="14">
        <f t="shared" si="5"/>
        <v>71.467693371558639</v>
      </c>
      <c r="T29" s="14">
        <f t="shared" si="0"/>
        <v>5.4890000000000006E-4</v>
      </c>
      <c r="U29" s="14">
        <f t="shared" si="6"/>
        <v>358.33302213923707</v>
      </c>
      <c r="V29" s="14">
        <f t="shared" si="7"/>
        <v>2.0958068879811758E-2</v>
      </c>
      <c r="W29" s="14">
        <f t="shared" si="8"/>
        <v>1.251441958186106</v>
      </c>
      <c r="X29" s="14">
        <f t="shared" si="9"/>
        <v>0.12924217669312665</v>
      </c>
      <c r="Y29" s="14">
        <f t="shared" si="10"/>
        <v>3.3144228700000001E-6</v>
      </c>
      <c r="Z29" s="14">
        <f t="shared" si="11"/>
        <v>0.23542479554547879</v>
      </c>
      <c r="AA29" s="14">
        <f t="shared" si="12"/>
        <v>9.6712490857788966E-4</v>
      </c>
      <c r="AB29" s="14">
        <f t="shared" si="13"/>
        <v>3.0374999209093166E-3</v>
      </c>
      <c r="AC29" s="14">
        <f t="shared" si="14"/>
        <v>7.7059683039416238E-2</v>
      </c>
      <c r="AD29" s="14">
        <f t="shared" si="15"/>
        <v>1.9241360160000003E-8</v>
      </c>
      <c r="AE29" s="14">
        <f t="shared" si="16"/>
        <v>8.6214925126700433E-3</v>
      </c>
      <c r="AF29" s="14">
        <f t="shared" si="17"/>
        <v>8.8213913317765957E-5</v>
      </c>
      <c r="AG29" s="14">
        <f t="shared" si="18"/>
        <v>4.992971632484338E-3</v>
      </c>
      <c r="AH29" s="14">
        <f t="shared" si="19"/>
        <v>9.0060505214029259E-4</v>
      </c>
      <c r="AI29" s="14">
        <f t="shared" si="20"/>
        <v>1.3279963070274562E-8</v>
      </c>
      <c r="AJ29" s="14">
        <f t="shared" si="21"/>
        <v>9.7967107320524947E-4</v>
      </c>
      <c r="AK29" s="14">
        <f t="shared" si="22"/>
        <v>1.7586505844849672E-2</v>
      </c>
      <c r="AL29" s="14">
        <f t="shared" si="23"/>
        <v>0.99540901764041823</v>
      </c>
      <c r="AM29" s="14">
        <f t="shared" si="24"/>
        <v>0.17954646175045708</v>
      </c>
      <c r="AN29" s="14">
        <f t="shared" si="25"/>
        <v>2.6475205483003512E-6</v>
      </c>
      <c r="AO29" s="14">
        <f t="shared" si="26"/>
        <v>0.19530922512066376</v>
      </c>
      <c r="AP29" s="14">
        <f t="shared" si="46"/>
        <v>1.7586505844849672E-2</v>
      </c>
      <c r="AQ29" s="14">
        <f t="shared" si="30"/>
        <v>0.99540901764041823</v>
      </c>
      <c r="AR29" s="14">
        <f t="shared" si="47"/>
        <v>0.18213157583092818</v>
      </c>
      <c r="AS29" s="14">
        <f t="shared" si="32"/>
        <v>2.6475205483003512E-6</v>
      </c>
      <c r="AT29" s="14">
        <f t="shared" si="51"/>
        <v>0.19425672727710139</v>
      </c>
      <c r="AU29" s="10">
        <f t="shared" ref="AU29:AU30" si="60">$AU$27+(($AU$31-$AU$27)/($D$31-$D$27))*(D29-$D$27)</f>
        <v>2.2737972632262741E-2</v>
      </c>
      <c r="AV29" s="10">
        <f t="shared" ref="AV29:AV30" si="61">$AV$27+(($AV$31-$AV$27)/($D$31-$D$27))*(D29-$D$27)</f>
        <v>2.9631066274104279</v>
      </c>
      <c r="AW29" s="10">
        <f t="shared" ref="AW29:AW30" si="62">$AW$27+(($AW$31-$AW$27)/($D$31-$D$27))*(D29-$D$27)</f>
        <v>0.19403180266641107</v>
      </c>
      <c r="AX29" s="10">
        <f t="shared" ref="AX29:AX30" si="63">$AX$27+(($AX$31-$AX$27)/($D$31-$D$27))*(D29-$D$27)</f>
        <v>3.5354482211575722E-6</v>
      </c>
      <c r="AY29" s="10">
        <f t="shared" ref="AY29:AY30" si="64">$AY$27+(($AY$31-$AY$27)/($D$31-$D$27))*(D29-$D$27)</f>
        <v>0.26003723425688668</v>
      </c>
      <c r="AZ29" s="10">
        <f t="shared" si="48"/>
        <v>0.7734421238548026</v>
      </c>
      <c r="BA29" s="10">
        <f t="shared" si="49"/>
        <v>0.33593425509305558</v>
      </c>
      <c r="BB29" s="10">
        <f t="shared" si="35"/>
        <v>0.93866867868077097</v>
      </c>
      <c r="BC29" s="10">
        <f t="shared" ref="BC29:BC37" si="65">AS29/AX29</f>
        <v>0.74885004182963344</v>
      </c>
      <c r="BD29" s="10">
        <f t="shared" si="37"/>
        <v>0.74703427696511426</v>
      </c>
      <c r="BF29" s="14"/>
      <c r="BG29" s="6">
        <v>162.99999999999997</v>
      </c>
      <c r="BH29" s="4">
        <v>1.032054658693025</v>
      </c>
    </row>
    <row r="30" spans="2:60" x14ac:dyDescent="0.25">
      <c r="B30" s="10" t="s">
        <v>113</v>
      </c>
      <c r="C30" s="14" t="s">
        <v>117</v>
      </c>
      <c r="D30" s="12">
        <f t="shared" si="38"/>
        <v>438.00000000000011</v>
      </c>
      <c r="E30" s="9">
        <f t="shared" si="59"/>
        <v>0.30416666666666675</v>
      </c>
      <c r="F30" s="9">
        <v>0.75694444444444453</v>
      </c>
      <c r="G30" s="11">
        <v>10.0305</v>
      </c>
      <c r="H30" s="11">
        <v>19.049499999999998</v>
      </c>
      <c r="I30" s="11">
        <v>15.083500000000001</v>
      </c>
      <c r="J30" s="11">
        <f t="shared" si="1"/>
        <v>3.9659999999999975</v>
      </c>
      <c r="K30" s="11">
        <f t="shared" si="2"/>
        <v>5.0530000000000008</v>
      </c>
      <c r="L30" s="18">
        <v>134995</v>
      </c>
      <c r="M30" s="19">
        <v>11365</v>
      </c>
      <c r="N30" s="20">
        <v>5121459</v>
      </c>
      <c r="O30" s="21">
        <v>118373</v>
      </c>
      <c r="P30" s="17">
        <v>1980944</v>
      </c>
      <c r="Q30" s="14">
        <f t="shared" si="3"/>
        <v>17.94063419950902</v>
      </c>
      <c r="R30" s="14">
        <f t="shared" si="4"/>
        <v>2365.7898899509637</v>
      </c>
      <c r="S30" s="14">
        <f t="shared" si="5"/>
        <v>71.825421750968843</v>
      </c>
      <c r="T30" s="14">
        <f t="shared" si="0"/>
        <v>5.734920000000001E-4</v>
      </c>
      <c r="U30" s="14">
        <f t="shared" si="6"/>
        <v>378.20003429485956</v>
      </c>
      <c r="V30" s="14">
        <f t="shared" si="7"/>
        <v>2.221229920241212E-2</v>
      </c>
      <c r="W30" s="14">
        <f t="shared" si="8"/>
        <v>1.4425548109457094</v>
      </c>
      <c r="X30" s="14">
        <f t="shared" si="9"/>
        <v>0.12988909269445206</v>
      </c>
      <c r="Y30" s="14">
        <f t="shared" si="10"/>
        <v>3.4629167436000002E-6</v>
      </c>
      <c r="Z30" s="14">
        <f t="shared" si="11"/>
        <v>0.24847742253172275</v>
      </c>
      <c r="AA30" s="14">
        <f t="shared" si="12"/>
        <v>1.0250022537205488E-3</v>
      </c>
      <c r="AB30" s="14">
        <f t="shared" si="13"/>
        <v>3.5013690371274264E-3</v>
      </c>
      <c r="AC30" s="14">
        <f t="shared" si="14"/>
        <v>7.7445401875873399E-2</v>
      </c>
      <c r="AD30" s="14">
        <f t="shared" si="15"/>
        <v>2.0103417964800003E-8</v>
      </c>
      <c r="AE30" s="14">
        <f t="shared" si="16"/>
        <v>9.0994928251343209E-3</v>
      </c>
      <c r="AF30" s="14">
        <f t="shared" si="17"/>
        <v>9.3273315024816332E-5</v>
      </c>
      <c r="AG30" s="14">
        <f t="shared" si="18"/>
        <v>5.738864797955285E-3</v>
      </c>
      <c r="AH30" s="14">
        <f t="shared" si="19"/>
        <v>9.0647175730498495E-4</v>
      </c>
      <c r="AI30" s="14">
        <f t="shared" si="20"/>
        <v>1.3835510376093726E-8</v>
      </c>
      <c r="AJ30" s="14">
        <f t="shared" si="21"/>
        <v>1.0314411950062155E-3</v>
      </c>
      <c r="AK30" s="14">
        <f t="shared" si="22"/>
        <v>1.8458997630084368E-2</v>
      </c>
      <c r="AL30" s="14">
        <f t="shared" si="23"/>
        <v>1.1357341773115543</v>
      </c>
      <c r="AM30" s="14">
        <f t="shared" si="24"/>
        <v>0.17939278790915986</v>
      </c>
      <c r="AN30" s="14">
        <f t="shared" si="25"/>
        <v>2.7380784437153616E-6</v>
      </c>
      <c r="AO30" s="14">
        <f t="shared" si="26"/>
        <v>0.20412451909879581</v>
      </c>
      <c r="AP30" s="14">
        <f t="shared" si="46"/>
        <v>1.8458997630084368E-2</v>
      </c>
      <c r="AQ30" s="14">
        <f t="shared" si="30"/>
        <v>1.1357341773115543</v>
      </c>
      <c r="AR30" s="14">
        <f t="shared" si="47"/>
        <v>0.18197790198963096</v>
      </c>
      <c r="AS30" s="14">
        <f t="shared" si="32"/>
        <v>2.7380784437153616E-6</v>
      </c>
      <c r="AT30" s="14">
        <f t="shared" si="51"/>
        <v>0.20307202125523344</v>
      </c>
      <c r="AU30" s="10">
        <f t="shared" si="60"/>
        <v>2.2562478072932678E-2</v>
      </c>
      <c r="AV30" s="10">
        <f t="shared" si="61"/>
        <v>2.8079151827676863</v>
      </c>
      <c r="AW30" s="10">
        <f t="shared" si="62"/>
        <v>0.19193845999644008</v>
      </c>
      <c r="AX30" s="10">
        <f t="shared" si="63"/>
        <v>3.5208040125123016E-6</v>
      </c>
      <c r="AY30" s="10">
        <f t="shared" si="64"/>
        <v>0.256200507013504</v>
      </c>
      <c r="AZ30" s="10">
        <f t="shared" si="48"/>
        <v>0.81812811387189355</v>
      </c>
      <c r="BA30" s="10">
        <f t="shared" si="49"/>
        <v>0.40447595578442358</v>
      </c>
      <c r="BB30" s="10">
        <f t="shared" si="35"/>
        <v>0.94810546043250599</v>
      </c>
      <c r="BC30" s="10">
        <f t="shared" si="65"/>
        <v>0.77768556102092745</v>
      </c>
      <c r="BD30" s="10">
        <f t="shared" si="37"/>
        <v>0.79262927159051166</v>
      </c>
      <c r="BG30" s="11">
        <v>170</v>
      </c>
      <c r="BH30" s="10">
        <v>0.94084064078331719</v>
      </c>
    </row>
    <row r="31" spans="2:60" s="4" customFormat="1" x14ac:dyDescent="0.25">
      <c r="B31" s="4" t="s">
        <v>114</v>
      </c>
      <c r="C31" s="5" t="s">
        <v>45</v>
      </c>
      <c r="D31" s="6">
        <f t="shared" si="38"/>
        <v>462.99999999999989</v>
      </c>
      <c r="E31" s="7">
        <f t="shared" si="59"/>
        <v>0.32152777777777769</v>
      </c>
      <c r="F31" s="7">
        <v>0.77430555555555547</v>
      </c>
      <c r="G31" s="8">
        <v>9.8140999999999998</v>
      </c>
      <c r="H31" s="8">
        <v>18.772400000000001</v>
      </c>
      <c r="I31" s="8">
        <v>14.599600000000001</v>
      </c>
      <c r="J31" s="8">
        <f t="shared" si="1"/>
        <v>4.1728000000000005</v>
      </c>
      <c r="K31" s="8">
        <f t="shared" si="2"/>
        <v>4.7855000000000008</v>
      </c>
      <c r="L31" s="13">
        <v>153145</v>
      </c>
      <c r="M31" s="13">
        <v>23706</v>
      </c>
      <c r="N31" s="13">
        <v>5065088</v>
      </c>
      <c r="O31" s="13">
        <v>140802</v>
      </c>
      <c r="P31" s="13">
        <v>2244838</v>
      </c>
      <c r="Q31" s="5">
        <f t="shared" si="3"/>
        <v>19.789449022623788</v>
      </c>
      <c r="R31" s="5">
        <f t="shared" si="4"/>
        <v>5154.5273766750279</v>
      </c>
      <c r="S31" s="5">
        <f t="shared" si="5"/>
        <v>71.013311627504933</v>
      </c>
      <c r="T31" s="5">
        <f t="shared" si="0"/>
        <v>6.6320800000000009E-4</v>
      </c>
      <c r="U31" s="5">
        <f t="shared" si="6"/>
        <v>428.47896581945662</v>
      </c>
      <c r="V31" s="5">
        <f t="shared" si="7"/>
        <v>2.4501316834910511E-2</v>
      </c>
      <c r="W31" s="5">
        <f t="shared" si="8"/>
        <v>3.1430044979725777</v>
      </c>
      <c r="X31" s="5">
        <f t="shared" si="9"/>
        <v>0.12842047274717991</v>
      </c>
      <c r="Y31" s="5">
        <f t="shared" si="10"/>
        <v>4.0046488664000001E-6</v>
      </c>
      <c r="Z31" s="5">
        <f t="shared" si="11"/>
        <v>0.28151068054338302</v>
      </c>
      <c r="AA31" s="5">
        <f t="shared" si="12"/>
        <v>1.1306305910095647E-3</v>
      </c>
      <c r="AB31" s="5">
        <f t="shared" si="13"/>
        <v>7.6287005174790409E-3</v>
      </c>
      <c r="AC31" s="5">
        <f t="shared" si="14"/>
        <v>7.6569748195799064E-2</v>
      </c>
      <c r="AD31" s="5">
        <f t="shared" si="15"/>
        <v>2.3248358515200007E-8</v>
      </c>
      <c r="AE31" s="5">
        <f t="shared" si="16"/>
        <v>1.0309203917616127E-2</v>
      </c>
      <c r="AF31" s="5">
        <f t="shared" si="17"/>
        <v>1.0764972758199087E-4</v>
      </c>
      <c r="AG31" s="5">
        <f t="shared" si="18"/>
        <v>1.315163631546637E-2</v>
      </c>
      <c r="AH31" s="5">
        <f t="shared" si="19"/>
        <v>9.0229747867042885E-4</v>
      </c>
      <c r="AI31" s="5">
        <f t="shared" si="20"/>
        <v>1.6821853809388414E-8</v>
      </c>
      <c r="AJ31" s="5">
        <f t="shared" si="21"/>
        <v>1.2240224631191808E-3</v>
      </c>
      <c r="AK31" s="5">
        <f t="shared" si="22"/>
        <v>2.2494980165498037E-2</v>
      </c>
      <c r="AL31" s="5">
        <f t="shared" si="23"/>
        <v>2.7482261655974018</v>
      </c>
      <c r="AM31" s="5">
        <f t="shared" si="24"/>
        <v>0.18854821411982628</v>
      </c>
      <c r="AN31" s="5">
        <f t="shared" si="25"/>
        <v>3.5151716245718131E-6</v>
      </c>
      <c r="AO31" s="5">
        <f t="shared" si="26"/>
        <v>0.25577734053268847</v>
      </c>
      <c r="AP31" s="5">
        <f t="shared" si="46"/>
        <v>2.2494980165498037E-2</v>
      </c>
      <c r="AQ31" s="5">
        <f t="shared" si="30"/>
        <v>2.7482261655974018</v>
      </c>
      <c r="AR31" s="5">
        <f t="shared" si="47"/>
        <v>0.19113332820029738</v>
      </c>
      <c r="AS31" s="5">
        <f t="shared" si="32"/>
        <v>3.5151716245718131E-6</v>
      </c>
      <c r="AT31" s="5">
        <f t="shared" si="51"/>
        <v>0.2547248426891261</v>
      </c>
      <c r="AU31" s="4">
        <f>AP31</f>
        <v>2.2494980165498037E-2</v>
      </c>
      <c r="AV31" s="4">
        <f t="shared" ref="AV31:AY31" si="66">AQ31</f>
        <v>2.7482261655974018</v>
      </c>
      <c r="AW31" s="4">
        <f t="shared" si="66"/>
        <v>0.19113332820029738</v>
      </c>
      <c r="AX31" s="4">
        <f t="shared" si="66"/>
        <v>3.5151716245718131E-6</v>
      </c>
      <c r="AY31" s="4">
        <f t="shared" si="66"/>
        <v>0.2547248426891261</v>
      </c>
      <c r="AZ31" s="4">
        <f t="shared" si="48"/>
        <v>1</v>
      </c>
      <c r="BA31" s="4">
        <f t="shared" si="49"/>
        <v>1</v>
      </c>
      <c r="BB31" s="4">
        <f t="shared" si="35"/>
        <v>1</v>
      </c>
      <c r="BC31" s="4">
        <f t="shared" si="65"/>
        <v>1</v>
      </c>
      <c r="BD31" s="4">
        <f t="shared" si="37"/>
        <v>1</v>
      </c>
      <c r="BF31" s="5"/>
      <c r="BG31" s="12">
        <v>180.00000000000009</v>
      </c>
      <c r="BH31" s="10">
        <v>0.96349890000929561</v>
      </c>
    </row>
    <row r="32" spans="2:60" x14ac:dyDescent="0.25">
      <c r="B32" s="10" t="s">
        <v>115</v>
      </c>
      <c r="C32" s="14" t="s">
        <v>117</v>
      </c>
      <c r="D32" s="12">
        <f t="shared" si="38"/>
        <v>507.99999999999989</v>
      </c>
      <c r="E32" s="9">
        <f t="shared" si="59"/>
        <v>0.35277777777777769</v>
      </c>
      <c r="F32" s="9">
        <v>0.80555555555555547</v>
      </c>
      <c r="G32" s="11">
        <v>9.9161999999999999</v>
      </c>
      <c r="H32" s="11">
        <v>18.913900000000002</v>
      </c>
      <c r="I32" s="11">
        <v>14.6473</v>
      </c>
      <c r="J32" s="11">
        <f t="shared" si="1"/>
        <v>4.2666000000000022</v>
      </c>
      <c r="K32" s="11">
        <f t="shared" si="2"/>
        <v>4.7310999999999996</v>
      </c>
      <c r="L32" s="18">
        <v>121342</v>
      </c>
      <c r="M32" s="19">
        <v>11373</v>
      </c>
      <c r="N32" s="20">
        <v>4802155</v>
      </c>
      <c r="O32" s="21">
        <v>104228</v>
      </c>
      <c r="P32" s="17">
        <v>1830627</v>
      </c>
      <c r="Q32" s="14">
        <f t="shared" si="3"/>
        <v>16.549897627608967</v>
      </c>
      <c r="R32" s="14">
        <f t="shared" si="4"/>
        <v>2367.5976769936501</v>
      </c>
      <c r="S32" s="14">
        <f t="shared" si="5"/>
        <v>67.225361243571086</v>
      </c>
      <c r="T32" s="14">
        <f t="shared" si="0"/>
        <v>5.1691200000000001E-4</v>
      </c>
      <c r="U32" s="14">
        <f t="shared" si="6"/>
        <v>349.56058758526081</v>
      </c>
      <c r="V32" s="14">
        <f t="shared" si="7"/>
        <v>2.0490428252742662E-2</v>
      </c>
      <c r="W32" s="14">
        <f t="shared" si="8"/>
        <v>1.4436571201180792</v>
      </c>
      <c r="X32" s="14">
        <f t="shared" si="9"/>
        <v>0.12157034327287396</v>
      </c>
      <c r="Y32" s="14">
        <f t="shared" si="10"/>
        <v>3.1212697295999999E-6</v>
      </c>
      <c r="Z32" s="14">
        <f t="shared" si="11"/>
        <v>0.22966130604351639</v>
      </c>
      <c r="AA32" s="14">
        <f t="shared" si="12"/>
        <v>9.4554530115818303E-4</v>
      </c>
      <c r="AB32" s="14">
        <f t="shared" si="13"/>
        <v>3.5040445619506024E-3</v>
      </c>
      <c r="AC32" s="14">
        <f t="shared" si="14"/>
        <v>7.2485409634074308E-2</v>
      </c>
      <c r="AD32" s="14">
        <f t="shared" si="15"/>
        <v>1.81200400128E-8</v>
      </c>
      <c r="AE32" s="14">
        <f t="shared" si="16"/>
        <v>8.4104277373013743E-3</v>
      </c>
      <c r="AF32" s="14">
        <f t="shared" si="17"/>
        <v>9.1897930557461373E-5</v>
      </c>
      <c r="AG32" s="14">
        <f t="shared" si="18"/>
        <v>6.1760854539228442E-3</v>
      </c>
      <c r="AH32" s="14">
        <f t="shared" si="19"/>
        <v>8.6162774812781318E-4</v>
      </c>
      <c r="AI32" s="14">
        <f t="shared" si="20"/>
        <v>1.3402937149615925E-8</v>
      </c>
      <c r="AJ32" s="14">
        <f t="shared" si="21"/>
        <v>1.0196635030332141E-3</v>
      </c>
      <c r="AK32" s="14">
        <f t="shared" si="22"/>
        <v>1.9424220700780238E-2</v>
      </c>
      <c r="AL32" s="14">
        <f t="shared" si="23"/>
        <v>1.3054227249313786</v>
      </c>
      <c r="AM32" s="14">
        <f t="shared" si="24"/>
        <v>0.18211996113542583</v>
      </c>
      <c r="AN32" s="14">
        <f t="shared" si="25"/>
        <v>2.8329431104005254E-6</v>
      </c>
      <c r="AO32" s="14">
        <f t="shared" si="26"/>
        <v>0.2155235575306407</v>
      </c>
      <c r="AP32" s="14">
        <f t="shared" si="46"/>
        <v>1.9424220700780238E-2</v>
      </c>
      <c r="AQ32" s="14">
        <f t="shared" si="30"/>
        <v>1.3054227249313786</v>
      </c>
      <c r="AR32" s="14">
        <f t="shared" si="47"/>
        <v>0.18470507521589694</v>
      </c>
      <c r="AS32" s="14">
        <f t="shared" si="32"/>
        <v>2.8329431104005254E-6</v>
      </c>
      <c r="AT32" s="14">
        <f t="shared" si="51"/>
        <v>0.21447105968707833</v>
      </c>
      <c r="AU32" s="10">
        <f>$AU$31+(($AU$34-$AU$31)/($D$34-$D$31))*(D32-$D$31)</f>
        <v>2.1260619817723637E-2</v>
      </c>
      <c r="AV32" s="10">
        <f>$AV$31+(($AV$34-$AV$31)/($D$34-$D$31))*(D32-$D$31)</f>
        <v>2.4358853932362901</v>
      </c>
      <c r="AW32" s="10">
        <f>$AW$31+(($AW$34-$AW$31)/($D$34-$D$31))*(D32-$D$31)</f>
        <v>0.18604215545433805</v>
      </c>
      <c r="AX32" s="10">
        <f>$AX$31+(($AX$34-$AX$31)/($D$34-$D$31))*(D32-$D$31)</f>
        <v>3.3827370468328334E-6</v>
      </c>
      <c r="AY32" s="10">
        <f>$AY$31+(($AY$34-$AY$31)/($D$34-$D$31))*(D32-$D$31)</f>
        <v>0.2481499812953562</v>
      </c>
      <c r="AZ32" s="10">
        <f t="shared" si="48"/>
        <v>0.91362438476922914</v>
      </c>
      <c r="BA32" s="10">
        <f t="shared" si="49"/>
        <v>0.53591303127648737</v>
      </c>
      <c r="BB32" s="10">
        <f t="shared" si="35"/>
        <v>0.99281302543944516</v>
      </c>
      <c r="BC32" s="10">
        <f t="shared" si="65"/>
        <v>0.83747068459043672</v>
      </c>
      <c r="BD32" s="10">
        <f t="shared" si="37"/>
        <v>0.86427997522920574</v>
      </c>
      <c r="BG32" s="11">
        <v>190</v>
      </c>
      <c r="BH32" s="10">
        <v>0.95544263006228103</v>
      </c>
    </row>
    <row r="33" spans="2:60" x14ac:dyDescent="0.25">
      <c r="B33" s="10" t="s">
        <v>116</v>
      </c>
      <c r="C33" s="14" t="s">
        <v>117</v>
      </c>
      <c r="D33" s="12">
        <f t="shared" si="38"/>
        <v>578</v>
      </c>
      <c r="E33" s="9">
        <f t="shared" si="59"/>
        <v>0.40138888888888885</v>
      </c>
      <c r="F33" s="9">
        <v>0.85416666666666663</v>
      </c>
      <c r="G33" s="11">
        <v>10.0518</v>
      </c>
      <c r="H33" s="11">
        <v>18.9953</v>
      </c>
      <c r="I33" s="11">
        <v>14.9917</v>
      </c>
      <c r="J33" s="11">
        <f t="shared" si="1"/>
        <v>4.0036000000000005</v>
      </c>
      <c r="K33" s="11">
        <f t="shared" si="2"/>
        <v>4.9398999999999997</v>
      </c>
      <c r="L33" s="18">
        <v>137633</v>
      </c>
      <c r="M33" s="19">
        <v>12655</v>
      </c>
      <c r="N33" s="20">
        <v>5099177</v>
      </c>
      <c r="O33" s="21">
        <v>121096</v>
      </c>
      <c r="P33" s="17">
        <v>2086891</v>
      </c>
      <c r="Q33" s="14">
        <f t="shared" si="3"/>
        <v>18.209348993083495</v>
      </c>
      <c r="R33" s="14">
        <f t="shared" si="4"/>
        <v>2657.295550584141</v>
      </c>
      <c r="S33" s="14">
        <f t="shared" si="5"/>
        <v>71.504415599383407</v>
      </c>
      <c r="T33" s="14">
        <f t="shared" si="0"/>
        <v>5.8438400000000008E-4</v>
      </c>
      <c r="U33" s="14">
        <f t="shared" si="6"/>
        <v>398.38579811759325</v>
      </c>
      <c r="V33" s="14">
        <f t="shared" si="7"/>
        <v>2.2544994988336675E-2</v>
      </c>
      <c r="W33" s="14">
        <f t="shared" si="8"/>
        <v>1.6203021649903298</v>
      </c>
      <c r="X33" s="14">
        <f t="shared" si="9"/>
        <v>0.12930858516992494</v>
      </c>
      <c r="Y33" s="14">
        <f t="shared" si="10"/>
        <v>3.5286859072000002E-6</v>
      </c>
      <c r="Z33" s="14">
        <f t="shared" si="11"/>
        <v>0.26173946936325881</v>
      </c>
      <c r="AA33" s="14">
        <f t="shared" si="12"/>
        <v>1.0403547360218395E-3</v>
      </c>
      <c r="AB33" s="14">
        <f t="shared" si="13"/>
        <v>3.9327974148645282E-3</v>
      </c>
      <c r="AC33" s="14">
        <f t="shared" si="14"/>
        <v>7.7099278597957163E-2</v>
      </c>
      <c r="AD33" s="14">
        <f t="shared" si="15"/>
        <v>2.0485230489600004E-8</v>
      </c>
      <c r="AE33" s="14">
        <f t="shared" si="16"/>
        <v>9.5851623027092929E-3</v>
      </c>
      <c r="AF33" s="14">
        <f t="shared" si="17"/>
        <v>9.5400390295779014E-5</v>
      </c>
      <c r="AG33" s="14">
        <f t="shared" si="18"/>
        <v>6.5064693737049741E-3</v>
      </c>
      <c r="AH33" s="14">
        <f t="shared" si="19"/>
        <v>8.9856257793236017E-4</v>
      </c>
      <c r="AI33" s="14">
        <f t="shared" si="20"/>
        <v>1.4228641888161498E-8</v>
      </c>
      <c r="AJ33" s="14">
        <f t="shared" si="21"/>
        <v>1.0952498828018969E-3</v>
      </c>
      <c r="AK33" s="14">
        <f t="shared" si="22"/>
        <v>1.9312210833372947E-2</v>
      </c>
      <c r="AL33" s="14">
        <f t="shared" si="23"/>
        <v>1.3171257259671196</v>
      </c>
      <c r="AM33" s="14">
        <f t="shared" si="24"/>
        <v>0.18189894085555583</v>
      </c>
      <c r="AN33" s="14">
        <f t="shared" si="25"/>
        <v>2.8803501868785802E-6</v>
      </c>
      <c r="AO33" s="14">
        <f t="shared" si="26"/>
        <v>0.2217149907491846</v>
      </c>
      <c r="AP33" s="14">
        <f t="shared" si="46"/>
        <v>1.9312210833372947E-2</v>
      </c>
      <c r="AQ33" s="14">
        <f t="shared" si="30"/>
        <v>1.3171257259671196</v>
      </c>
      <c r="AR33" s="14">
        <f t="shared" si="47"/>
        <v>0.18448405493602693</v>
      </c>
      <c r="AS33" s="14">
        <f t="shared" si="32"/>
        <v>2.8803501868785802E-6</v>
      </c>
      <c r="AT33" s="14">
        <f t="shared" si="51"/>
        <v>0.22066249290562223</v>
      </c>
      <c r="AU33" s="10">
        <f>$AU$31+(($AU$34-$AU$31)/($D$34-$D$31))*(D33-$D$31)</f>
        <v>1.9340503721185676E-2</v>
      </c>
      <c r="AV33" s="10">
        <f>$AV$31+(($AV$34-$AV$31)/($D$34-$D$31))*(D33-$D$31)</f>
        <v>1.9500219695634486</v>
      </c>
      <c r="AW33" s="10">
        <f>$AW$31+(($AW$34-$AW$31)/($D$34-$D$31))*(D33-$D$31)</f>
        <v>0.178122553405068</v>
      </c>
      <c r="AX33" s="10">
        <f>$AX$31+(($AX$34-$AX$31)/($D$34-$D$31))*(D33-$D$31)</f>
        <v>3.1767277036833089E-6</v>
      </c>
      <c r="AY33" s="10">
        <f>$AY$31+(($AY$34-$AY$31)/($D$34-$D$31))*(D33-$D$31)</f>
        <v>0.23792241912726969</v>
      </c>
      <c r="AZ33" s="10">
        <f t="shared" si="48"/>
        <v>0.99853711732534989</v>
      </c>
      <c r="BA33" s="10">
        <f t="shared" si="49"/>
        <v>0.67544148041674856</v>
      </c>
      <c r="BB33" s="10">
        <f t="shared" si="35"/>
        <v>1.0357141833493273</v>
      </c>
      <c r="BC33" s="10">
        <f t="shared" si="65"/>
        <v>0.90670351869910382</v>
      </c>
      <c r="BD33" s="10">
        <f t="shared" si="37"/>
        <v>0.92745565430547017</v>
      </c>
      <c r="BF33" s="14"/>
      <c r="BG33" s="12">
        <v>200</v>
      </c>
      <c r="BH33" s="10">
        <v>1.0299631270721654</v>
      </c>
    </row>
    <row r="34" spans="2:60" s="4" customFormat="1" x14ac:dyDescent="0.25">
      <c r="B34" s="4" t="s">
        <v>0</v>
      </c>
      <c r="C34" s="5" t="s">
        <v>46</v>
      </c>
      <c r="D34" s="6">
        <f t="shared" si="38"/>
        <v>595</v>
      </c>
      <c r="E34" s="7">
        <f t="shared" si="59"/>
        <v>0.41319444444444448</v>
      </c>
      <c r="F34" s="7">
        <v>0.86597222222222225</v>
      </c>
      <c r="G34" s="8">
        <v>9.8308999999999997</v>
      </c>
      <c r="H34" s="8">
        <v>18.8491</v>
      </c>
      <c r="I34" s="8">
        <v>15.1944</v>
      </c>
      <c r="J34" s="8">
        <f t="shared" si="1"/>
        <v>3.6547000000000001</v>
      </c>
      <c r="K34" s="8">
        <f t="shared" si="2"/>
        <v>5.3635000000000002</v>
      </c>
      <c r="L34" s="13">
        <v>164570</v>
      </c>
      <c r="M34" s="13">
        <v>20339</v>
      </c>
      <c r="N34" s="13">
        <v>5351645</v>
      </c>
      <c r="O34" s="13">
        <v>163375</v>
      </c>
      <c r="P34" s="13">
        <v>2627127</v>
      </c>
      <c r="Q34" s="5">
        <f t="shared" si="3"/>
        <v>20.953234661967382</v>
      </c>
      <c r="R34" s="5">
        <f t="shared" si="4"/>
        <v>4393.6750050844012</v>
      </c>
      <c r="S34" s="5">
        <f t="shared" si="5"/>
        <v>75.141601717257572</v>
      </c>
      <c r="T34" s="5">
        <f t="shared" si="0"/>
        <v>7.5350000000000005E-4</v>
      </c>
      <c r="U34" s="5">
        <f t="shared" si="6"/>
        <v>501.31534123385285</v>
      </c>
      <c r="V34" s="5">
        <f t="shared" si="7"/>
        <v>2.5942199834981815E-2</v>
      </c>
      <c r="W34" s="5">
        <f t="shared" si="8"/>
        <v>2.6790701250514641</v>
      </c>
      <c r="X34" s="5">
        <f t="shared" si="9"/>
        <v>0.1358860725454886</v>
      </c>
      <c r="Y34" s="5">
        <f t="shared" si="10"/>
        <v>4.5498590499999997E-6</v>
      </c>
      <c r="Z34" s="5">
        <f t="shared" si="11"/>
        <v>0.32936417919064132</v>
      </c>
      <c r="AA34" s="5">
        <f t="shared" si="12"/>
        <v>1.1971211559421826E-3</v>
      </c>
      <c r="AB34" s="5">
        <f t="shared" si="13"/>
        <v>6.502639007524914E-3</v>
      </c>
      <c r="AC34" s="5">
        <f t="shared" si="14"/>
        <v>8.1021056343624387E-2</v>
      </c>
      <c r="AD34" s="5">
        <f t="shared" si="15"/>
        <v>2.64134904E-8</v>
      </c>
      <c r="AE34" s="5">
        <f t="shared" si="16"/>
        <v>1.2061647110086499E-2</v>
      </c>
      <c r="AF34" s="5">
        <f t="shared" si="17"/>
        <v>1.0123171705680393E-4</v>
      </c>
      <c r="AG34" s="5">
        <f t="shared" si="18"/>
        <v>9.8260744903424461E-3</v>
      </c>
      <c r="AH34" s="5">
        <f t="shared" si="19"/>
        <v>9.3117926503102672E-4</v>
      </c>
      <c r="AI34" s="5">
        <f t="shared" si="20"/>
        <v>1.6770038625795399E-8</v>
      </c>
      <c r="AJ34" s="5">
        <f t="shared" si="21"/>
        <v>1.2684199099629858E-3</v>
      </c>
      <c r="AK34" s="5">
        <f t="shared" si="22"/>
        <v>1.887418981202646E-2</v>
      </c>
      <c r="AL34" s="5">
        <f t="shared" si="23"/>
        <v>1.832026566671473</v>
      </c>
      <c r="AM34" s="5">
        <f t="shared" si="24"/>
        <v>0.1736141073983456</v>
      </c>
      <c r="AN34" s="5">
        <f t="shared" si="25"/>
        <v>3.1266968632041386E-6</v>
      </c>
      <c r="AO34" s="5">
        <f t="shared" si="26"/>
        <v>0.23649108044429679</v>
      </c>
      <c r="AP34" s="5">
        <f t="shared" si="46"/>
        <v>1.887418981202646E-2</v>
      </c>
      <c r="AQ34" s="5">
        <f t="shared" si="30"/>
        <v>1.832026566671473</v>
      </c>
      <c r="AR34" s="5">
        <f t="shared" si="47"/>
        <v>0.1761992214788167</v>
      </c>
      <c r="AS34" s="5">
        <f t="shared" si="32"/>
        <v>3.1266968632041386E-6</v>
      </c>
      <c r="AT34" s="5">
        <f t="shared" si="51"/>
        <v>0.23543858260073441</v>
      </c>
      <c r="AU34" s="4">
        <f>AP34</f>
        <v>1.887418981202646E-2</v>
      </c>
      <c r="AV34" s="4">
        <f t="shared" ref="AV34:AY34" si="67">AQ34</f>
        <v>1.832026566671473</v>
      </c>
      <c r="AW34" s="4">
        <f t="shared" si="67"/>
        <v>0.1761992214788167</v>
      </c>
      <c r="AX34" s="4">
        <f t="shared" si="67"/>
        <v>3.1266968632041386E-6</v>
      </c>
      <c r="AY34" s="4">
        <f t="shared" si="67"/>
        <v>0.23543858260073441</v>
      </c>
      <c r="AZ34" s="4">
        <f t="shared" si="48"/>
        <v>1</v>
      </c>
      <c r="BA34" s="4">
        <f t="shared" si="49"/>
        <v>1</v>
      </c>
      <c r="BB34" s="4">
        <f t="shared" si="35"/>
        <v>1</v>
      </c>
      <c r="BC34" s="4">
        <f t="shared" si="65"/>
        <v>1</v>
      </c>
      <c r="BD34" s="4">
        <f t="shared" si="37"/>
        <v>1</v>
      </c>
      <c r="BG34" s="11">
        <v>215</v>
      </c>
      <c r="BH34" s="10">
        <v>0.96318904347287204</v>
      </c>
    </row>
    <row r="35" spans="2:60" x14ac:dyDescent="0.25">
      <c r="B35" s="10" t="s">
        <v>2</v>
      </c>
      <c r="C35" s="14" t="s">
        <v>117</v>
      </c>
      <c r="D35" s="12">
        <f t="shared" si="38"/>
        <v>652</v>
      </c>
      <c r="E35" s="9">
        <f t="shared" si="59"/>
        <v>0.45277777777777778</v>
      </c>
      <c r="F35" s="9">
        <v>0.90555555555555556</v>
      </c>
      <c r="G35" s="11">
        <v>10.014200000000001</v>
      </c>
      <c r="H35" s="11">
        <v>19.099399999999999</v>
      </c>
      <c r="I35" s="11">
        <v>15.193099999999999</v>
      </c>
      <c r="J35" s="11">
        <f t="shared" si="1"/>
        <v>3.9062999999999999</v>
      </c>
      <c r="K35" s="11">
        <f t="shared" si="2"/>
        <v>5.1788999999999987</v>
      </c>
      <c r="L35" s="18">
        <v>142286</v>
      </c>
      <c r="M35" s="19">
        <v>13272</v>
      </c>
      <c r="N35" s="20">
        <v>5127041</v>
      </c>
      <c r="O35" s="21">
        <v>129998</v>
      </c>
      <c r="P35" s="17">
        <v>2203963</v>
      </c>
      <c r="Q35" s="14">
        <f t="shared" si="3"/>
        <v>18.683317884100191</v>
      </c>
      <c r="R35" s="14">
        <f t="shared" si="4"/>
        <v>2796.7211262513274</v>
      </c>
      <c r="S35" s="14">
        <f t="shared" si="5"/>
        <v>71.905838963882843</v>
      </c>
      <c r="T35" s="14">
        <f t="shared" si="0"/>
        <v>6.1999200000000009E-4</v>
      </c>
      <c r="U35" s="14">
        <f t="shared" si="6"/>
        <v>420.69117478946765</v>
      </c>
      <c r="V35" s="14">
        <f t="shared" si="7"/>
        <v>2.3131815872304444E-2</v>
      </c>
      <c r="W35" s="14">
        <f t="shared" si="8"/>
        <v>1.7053177599093459</v>
      </c>
      <c r="X35" s="14">
        <f t="shared" si="9"/>
        <v>0.13003451918228576</v>
      </c>
      <c r="Y35" s="14">
        <f t="shared" si="10"/>
        <v>3.7436976936000003E-6</v>
      </c>
      <c r="Z35" s="14">
        <f t="shared" si="11"/>
        <v>0.27639410183668028</v>
      </c>
      <c r="AA35" s="14">
        <f t="shared" si="12"/>
        <v>1.0674340006722961E-3</v>
      </c>
      <c r="AB35" s="14">
        <f t="shared" si="13"/>
        <v>4.1391472668519643E-3</v>
      </c>
      <c r="AC35" s="14">
        <f t="shared" si="14"/>
        <v>7.7532111333611861E-2</v>
      </c>
      <c r="AD35" s="14">
        <f t="shared" si="15"/>
        <v>2.1733447564800005E-8</v>
      </c>
      <c r="AE35" s="14">
        <f t="shared" si="16"/>
        <v>1.0121829665434592E-2</v>
      </c>
      <c r="AF35" s="14">
        <f t="shared" si="17"/>
        <v>9.5887946288064602E-5</v>
      </c>
      <c r="AG35" s="14">
        <f t="shared" si="18"/>
        <v>6.6829189953141769E-3</v>
      </c>
      <c r="AH35" s="14">
        <f t="shared" si="19"/>
        <v>9.0948489366740528E-4</v>
      </c>
      <c r="AI35" s="14">
        <f t="shared" si="20"/>
        <v>1.4736561652103022E-8</v>
      </c>
      <c r="AJ35" s="14">
        <f t="shared" si="21"/>
        <v>1.1320982236589431E-3</v>
      </c>
      <c r="AK35" s="14">
        <f t="shared" si="22"/>
        <v>1.8515118323980888E-2</v>
      </c>
      <c r="AL35" s="14">
        <f t="shared" si="23"/>
        <v>1.2904128280743361</v>
      </c>
      <c r="AM35" s="14">
        <f t="shared" si="24"/>
        <v>0.17561352674649164</v>
      </c>
      <c r="AN35" s="14">
        <f t="shared" si="25"/>
        <v>2.8455003286611109E-6</v>
      </c>
      <c r="AO35" s="14">
        <f t="shared" si="26"/>
        <v>0.21859820109655398</v>
      </c>
      <c r="AP35" s="14">
        <f t="shared" si="46"/>
        <v>1.8515118323980888E-2</v>
      </c>
      <c r="AQ35" s="14">
        <f t="shared" si="30"/>
        <v>1.2904128280743361</v>
      </c>
      <c r="AR35" s="14">
        <f t="shared" si="47"/>
        <v>0.17819864082696274</v>
      </c>
      <c r="AS35" s="14">
        <f t="shared" si="32"/>
        <v>2.8455003286611109E-6</v>
      </c>
      <c r="AT35" s="14">
        <f t="shared" si="51"/>
        <v>0.21754570325299161</v>
      </c>
      <c r="AU35" s="10">
        <f>$AU$34+(($AU$37-$AU$34)/($D$37-$D$34))*(D35-$D$34)</f>
        <v>1.9463603557977421E-2</v>
      </c>
      <c r="AV35" s="10">
        <f>$AV$34+(($AV$37-$AV$34)/($D$37-$D$34))*(D35-$D$34)</f>
        <v>1.9225110193128725</v>
      </c>
      <c r="AW35" s="10">
        <f>$AW$34+(($AW$37-$AW$34)/($D$37-$D$34))*(D35-$D$34)</f>
        <v>0.18094502420149214</v>
      </c>
      <c r="AX35" s="10">
        <f>$AX$34+(($AX$37-$AX$34)/($D$37-$D$34))*(D35-$D$34)</f>
        <v>3.2100076040985148E-6</v>
      </c>
      <c r="AY35" s="10">
        <f>$AY$34+(($AY$37-$AY$34)/($D$37-$D$34))*(D35-$D$34)</f>
        <v>0.23712199223350153</v>
      </c>
      <c r="AZ35" s="10">
        <f t="shared" si="48"/>
        <v>0.9512687755290935</v>
      </c>
      <c r="BA35" s="10">
        <f t="shared" si="49"/>
        <v>0.67121218818061412</v>
      </c>
      <c r="BB35" s="10">
        <f t="shared" si="35"/>
        <v>0.9848220011207871</v>
      </c>
      <c r="BC35" s="10">
        <f t="shared" si="65"/>
        <v>0.88644660063359237</v>
      </c>
      <c r="BD35" s="10">
        <f t="shared" si="37"/>
        <v>0.91744211999858483</v>
      </c>
      <c r="BF35" s="14"/>
      <c r="BG35" s="12">
        <v>229.99999999999991</v>
      </c>
      <c r="BH35" s="10">
        <v>0.98941065286772212</v>
      </c>
    </row>
    <row r="36" spans="2:60" x14ac:dyDescent="0.25">
      <c r="B36" s="10" t="s">
        <v>3</v>
      </c>
      <c r="C36" s="14" t="s">
        <v>117</v>
      </c>
      <c r="D36" s="12">
        <f t="shared" si="38"/>
        <v>724</v>
      </c>
      <c r="E36" s="9">
        <f t="shared" si="59"/>
        <v>0.50277777777777777</v>
      </c>
      <c r="F36" s="9">
        <v>0.9555555555555556</v>
      </c>
      <c r="G36" s="11">
        <v>9.9709000000000003</v>
      </c>
      <c r="H36" s="11">
        <v>18.8232</v>
      </c>
      <c r="I36" s="11">
        <v>14.8293</v>
      </c>
      <c r="J36" s="11">
        <f t="shared" si="1"/>
        <v>3.9939</v>
      </c>
      <c r="K36" s="11">
        <f t="shared" si="2"/>
        <v>4.8583999999999996</v>
      </c>
      <c r="L36" s="18">
        <v>136203</v>
      </c>
      <c r="M36" s="19">
        <v>13858</v>
      </c>
      <c r="N36" s="20">
        <v>4876355</v>
      </c>
      <c r="O36" s="21">
        <v>112790</v>
      </c>
      <c r="P36" s="17">
        <v>2098546</v>
      </c>
      <c r="Q36" s="14">
        <f t="shared" si="3"/>
        <v>18.063684794898698</v>
      </c>
      <c r="R36" s="14">
        <f t="shared" si="4"/>
        <v>2929.1415271281044</v>
      </c>
      <c r="S36" s="14">
        <f t="shared" si="5"/>
        <v>68.294325270482474</v>
      </c>
      <c r="T36" s="14">
        <f t="shared" si="0"/>
        <v>5.5116000000000008E-4</v>
      </c>
      <c r="U36" s="14">
        <f t="shared" si="6"/>
        <v>400.60639027550206</v>
      </c>
      <c r="V36" s="14">
        <f t="shared" si="7"/>
        <v>2.236464814456408E-2</v>
      </c>
      <c r="W36" s="14">
        <f t="shared" si="8"/>
        <v>1.7860619067854293</v>
      </c>
      <c r="X36" s="14">
        <f t="shared" si="9"/>
        <v>0.1235034578191405</v>
      </c>
      <c r="Y36" s="14">
        <f t="shared" si="10"/>
        <v>3.328069428E-6</v>
      </c>
      <c r="Z36" s="14">
        <f t="shared" si="11"/>
        <v>0.26319839841100484</v>
      </c>
      <c r="AA36" s="14">
        <f t="shared" si="12"/>
        <v>1.0320325033869471E-3</v>
      </c>
      <c r="AB36" s="14">
        <f t="shared" si="13"/>
        <v>4.3351294601495947E-3</v>
      </c>
      <c r="AC36" s="14">
        <f t="shared" si="14"/>
        <v>7.363801475127138E-2</v>
      </c>
      <c r="AD36" s="14">
        <f t="shared" si="15"/>
        <v>1.9320583104000003E-8</v>
      </c>
      <c r="AE36" s="14">
        <f t="shared" si="16"/>
        <v>9.6385897500285787E-3</v>
      </c>
      <c r="AF36" s="14">
        <f t="shared" si="17"/>
        <v>9.4336194939029612E-5</v>
      </c>
      <c r="AG36" s="14">
        <f t="shared" si="18"/>
        <v>7.1544144424795161E-3</v>
      </c>
      <c r="AH36" s="14">
        <f t="shared" si="19"/>
        <v>8.5102339105144211E-4</v>
      </c>
      <c r="AI36" s="14">
        <f t="shared" si="20"/>
        <v>1.3385843609441672E-8</v>
      </c>
      <c r="AJ36" s="14">
        <f t="shared" si="21"/>
        <v>1.0980162078552511E-3</v>
      </c>
      <c r="AK36" s="14">
        <f t="shared" si="22"/>
        <v>1.94171321708854E-2</v>
      </c>
      <c r="AL36" s="14">
        <f t="shared" si="23"/>
        <v>1.4725865392885551</v>
      </c>
      <c r="AM36" s="14">
        <f t="shared" si="24"/>
        <v>0.17516536124062287</v>
      </c>
      <c r="AN36" s="14">
        <f t="shared" si="25"/>
        <v>2.7551958688954537E-6</v>
      </c>
      <c r="AO36" s="14">
        <f t="shared" si="26"/>
        <v>0.22600366537445479</v>
      </c>
      <c r="AP36" s="14">
        <f t="shared" si="46"/>
        <v>1.94171321708854E-2</v>
      </c>
      <c r="AQ36" s="14">
        <f t="shared" si="30"/>
        <v>1.4725865392885551</v>
      </c>
      <c r="AR36" s="14">
        <f t="shared" si="47"/>
        <v>0.17775047532109398</v>
      </c>
      <c r="AS36" s="14">
        <f t="shared" si="32"/>
        <v>2.7551958688954537E-6</v>
      </c>
      <c r="AT36" s="14">
        <f t="shared" si="51"/>
        <v>0.22495116753089242</v>
      </c>
      <c r="AU36" s="10">
        <f>$AU$34+(($AU$37-$AU$34)/($D$37-$D$34))*(D36-$D$34)</f>
        <v>2.0208126184441792E-2</v>
      </c>
      <c r="AV36" s="10">
        <f>$AV$34+(($AV$37-$AV$34)/($D$37-$D$34))*(D36-$D$34)</f>
        <v>2.0368071700177981</v>
      </c>
      <c r="AW36" s="10">
        <f>$AW$34+(($AW$37-$AW$34)/($D$37-$D$34))*(D36-$D$34)</f>
        <v>0.1869397223775032</v>
      </c>
      <c r="AX36" s="10">
        <f>$AX$34+(($AX$37-$AX$34)/($D$37-$D$34))*(D36-$D$34)</f>
        <v>3.3152422241756216E-6</v>
      </c>
      <c r="AY36" s="10">
        <f>$AY$34+(($AY$37-$AY$34)/($D$37-$D$34))*(D36-$D$34)</f>
        <v>0.23924840440120734</v>
      </c>
      <c r="AZ36" s="10">
        <f t="shared" si="48"/>
        <v>0.96085762695972388</v>
      </c>
      <c r="BA36" s="10">
        <f t="shared" si="49"/>
        <v>0.72298770397380685</v>
      </c>
      <c r="BB36" s="10">
        <f t="shared" si="35"/>
        <v>0.95084379638773298</v>
      </c>
      <c r="BC36" s="10">
        <f t="shared" si="65"/>
        <v>0.83106925002457976</v>
      </c>
      <c r="BD36" s="10">
        <f t="shared" si="37"/>
        <v>0.94024103564620143</v>
      </c>
      <c r="BG36" s="11">
        <v>245</v>
      </c>
      <c r="BH36" s="10">
        <v>0.99150218448858152</v>
      </c>
    </row>
    <row r="37" spans="2:60" s="5" customFormat="1" x14ac:dyDescent="0.25">
      <c r="B37" s="4" t="s">
        <v>4</v>
      </c>
      <c r="C37" s="5" t="s">
        <v>47</v>
      </c>
      <c r="D37" s="6">
        <f t="shared" si="38"/>
        <v>724.99999999999977</v>
      </c>
      <c r="E37" s="7">
        <f t="shared" si="59"/>
        <v>0.5034722222222221</v>
      </c>
      <c r="F37" s="7">
        <v>0.95624999999999993</v>
      </c>
      <c r="G37" s="5">
        <v>9.8552999999999997</v>
      </c>
      <c r="H37" s="5">
        <v>18.8627</v>
      </c>
      <c r="I37" s="5">
        <v>14.769</v>
      </c>
      <c r="J37" s="5">
        <f t="shared" si="1"/>
        <v>4.0937000000000001</v>
      </c>
      <c r="K37" s="5">
        <f t="shared" si="2"/>
        <v>4.9137000000000004</v>
      </c>
      <c r="L37" s="13">
        <v>141199</v>
      </c>
      <c r="M37" s="13">
        <v>18601</v>
      </c>
      <c r="N37" s="13">
        <v>5088679</v>
      </c>
      <c r="O37" s="13">
        <v>138685</v>
      </c>
      <c r="P37" s="13">
        <v>2203405</v>
      </c>
      <c r="Q37" s="5">
        <f t="shared" si="3"/>
        <v>18.572592720864613</v>
      </c>
      <c r="R37" s="5">
        <f t="shared" si="4"/>
        <v>4000.9332700607874</v>
      </c>
      <c r="S37" s="5">
        <f t="shared" si="5"/>
        <v>71.353175918055697</v>
      </c>
      <c r="T37" s="5">
        <f t="shared" si="0"/>
        <v>6.5474000000000012E-4</v>
      </c>
      <c r="U37" s="5">
        <f t="shared" si="6"/>
        <v>420.58486072476472</v>
      </c>
      <c r="V37" s="5">
        <f t="shared" si="7"/>
        <v>2.2994727047702477E-2</v>
      </c>
      <c r="W37" s="5">
        <f t="shared" si="8"/>
        <v>2.4395934573541389</v>
      </c>
      <c r="X37" s="5">
        <f t="shared" si="9"/>
        <v>0.12903508333021191</v>
      </c>
      <c r="Y37" s="5">
        <f t="shared" si="10"/>
        <v>3.9535165420000004E-6</v>
      </c>
      <c r="Z37" s="5">
        <f t="shared" si="11"/>
        <v>0.27632425349617046</v>
      </c>
      <c r="AA37" s="5">
        <f t="shared" si="12"/>
        <v>1.0611079399211578E-3</v>
      </c>
      <c r="AB37" s="5">
        <f t="shared" si="13"/>
        <v>5.9213812396899648E-3</v>
      </c>
      <c r="AC37" s="5">
        <f t="shared" si="14"/>
        <v>7.6936205167763963E-2</v>
      </c>
      <c r="AD37" s="5">
        <f t="shared" si="15"/>
        <v>2.2951517856000006E-8</v>
      </c>
      <c r="AE37" s="5">
        <f t="shared" si="16"/>
        <v>1.011927174903784E-2</v>
      </c>
      <c r="AF37" s="5">
        <f t="shared" si="17"/>
        <v>9.9347480199570221E-5</v>
      </c>
      <c r="AG37" s="5">
        <f t="shared" si="18"/>
        <v>1.0016059627368103E-2</v>
      </c>
      <c r="AH37" s="5">
        <f t="shared" si="19"/>
        <v>9.0627235196173034E-4</v>
      </c>
      <c r="AI37" s="5">
        <f t="shared" si="20"/>
        <v>1.6297287541274431E-8</v>
      </c>
      <c r="AJ37" s="5">
        <f t="shared" si="21"/>
        <v>1.1809116621305201E-3</v>
      </c>
      <c r="AK37" s="5">
        <f t="shared" si="22"/>
        <v>2.0218466776476016E-2</v>
      </c>
      <c r="AL37" s="5">
        <f t="shared" si="23"/>
        <v>2.0383946165553661</v>
      </c>
      <c r="AM37" s="5">
        <f t="shared" si="24"/>
        <v>0.18443786799392112</v>
      </c>
      <c r="AN37" s="5">
        <f t="shared" si="25"/>
        <v>3.3167038161211365E-6</v>
      </c>
      <c r="AO37" s="5">
        <f t="shared" si="26"/>
        <v>0.24033043574709895</v>
      </c>
      <c r="AP37" s="5">
        <f t="shared" si="46"/>
        <v>2.0218466776476016E-2</v>
      </c>
      <c r="AQ37" s="5">
        <f t="shared" si="30"/>
        <v>2.0383946165553661</v>
      </c>
      <c r="AR37" s="5">
        <f t="shared" si="47"/>
        <v>0.18702298207439222</v>
      </c>
      <c r="AS37" s="5">
        <f t="shared" si="32"/>
        <v>3.3167038161211365E-6</v>
      </c>
      <c r="AT37" s="5">
        <f t="shared" si="51"/>
        <v>0.23927793790353657</v>
      </c>
      <c r="AU37" s="4">
        <f>AP37</f>
        <v>2.0218466776476016E-2</v>
      </c>
      <c r="AV37" s="4">
        <f t="shared" ref="AV37:AY37" si="68">AQ37</f>
        <v>2.0383946165553661</v>
      </c>
      <c r="AW37" s="4">
        <f t="shared" si="68"/>
        <v>0.18702298207439222</v>
      </c>
      <c r="AX37" s="4">
        <f t="shared" si="68"/>
        <v>3.3167038161211365E-6</v>
      </c>
      <c r="AY37" s="4">
        <f t="shared" si="68"/>
        <v>0.23927793790353657</v>
      </c>
      <c r="AZ37" s="4">
        <f t="shared" si="48"/>
        <v>1</v>
      </c>
      <c r="BA37" s="4">
        <f t="shared" si="49"/>
        <v>1</v>
      </c>
      <c r="BB37" s="4">
        <f t="shared" si="35"/>
        <v>1</v>
      </c>
      <c r="BC37" s="4">
        <f t="shared" si="65"/>
        <v>1</v>
      </c>
      <c r="BD37" s="4">
        <f t="shared" si="37"/>
        <v>1</v>
      </c>
      <c r="BE37" s="4"/>
      <c r="BG37" s="12">
        <v>259.99999999999994</v>
      </c>
      <c r="BH37" s="10">
        <v>1.0108294859480058</v>
      </c>
    </row>
    <row r="38" spans="2:60" x14ac:dyDescent="0.25">
      <c r="C38" s="14"/>
      <c r="D38" s="12"/>
      <c r="E38" s="9"/>
      <c r="F38" s="9"/>
      <c r="L38" s="15"/>
      <c r="N38" s="15"/>
      <c r="O38" s="15"/>
      <c r="P38" s="15"/>
      <c r="BF38" s="14"/>
      <c r="BG38" s="12">
        <v>290</v>
      </c>
      <c r="BH38" s="10">
        <v>0.9771713196789884</v>
      </c>
    </row>
    <row r="39" spans="2:60" x14ac:dyDescent="0.25">
      <c r="BF39" s="14"/>
      <c r="BG39" s="6">
        <v>312.99999999999994</v>
      </c>
      <c r="BH39" s="4">
        <v>1.0016499860564558</v>
      </c>
    </row>
    <row r="40" spans="2:60" x14ac:dyDescent="0.25">
      <c r="BF40" s="14"/>
      <c r="BG40" s="12">
        <v>329.00000000000006</v>
      </c>
      <c r="BH40" s="10">
        <v>0.97705512347782975</v>
      </c>
    </row>
    <row r="41" spans="2:60" x14ac:dyDescent="0.25">
      <c r="BF41" s="14"/>
      <c r="BG41" s="12">
        <v>372.99999999999989</v>
      </c>
      <c r="BH41" s="10">
        <v>0.98666067610696229</v>
      </c>
    </row>
    <row r="42" spans="2:60" x14ac:dyDescent="0.25">
      <c r="BF42" s="14"/>
      <c r="BG42" s="12">
        <v>438.00000000000011</v>
      </c>
      <c r="BH42" s="10">
        <v>0.99312893130480562</v>
      </c>
    </row>
    <row r="43" spans="2:60" x14ac:dyDescent="0.25">
      <c r="BF43" s="14"/>
      <c r="BG43" s="6">
        <v>462.99999999999989</v>
      </c>
      <c r="BH43" s="4">
        <v>0.99254795029901144</v>
      </c>
    </row>
    <row r="44" spans="2:60" x14ac:dyDescent="0.25">
      <c r="BF44" s="14"/>
      <c r="BG44" s="12">
        <v>507.99999999999989</v>
      </c>
      <c r="BH44" s="10">
        <v>0.96861153286028545</v>
      </c>
    </row>
    <row r="45" spans="2:60" x14ac:dyDescent="0.25">
      <c r="BF45" s="14"/>
      <c r="BG45" s="12">
        <v>578</v>
      </c>
      <c r="BH45" s="10">
        <v>0.98030861711027784</v>
      </c>
    </row>
    <row r="46" spans="2:60" x14ac:dyDescent="0.25">
      <c r="BF46" s="14"/>
      <c r="BG46" s="6">
        <v>595</v>
      </c>
      <c r="BH46" s="4">
        <v>0.98999163387351652</v>
      </c>
    </row>
    <row r="47" spans="2:60" x14ac:dyDescent="0.25">
      <c r="BF47" s="14"/>
      <c r="BG47" s="12">
        <v>652</v>
      </c>
      <c r="BH47" s="10">
        <v>0.97120658135283344</v>
      </c>
    </row>
    <row r="48" spans="2:60" x14ac:dyDescent="0.25">
      <c r="BF48" s="14"/>
      <c r="BG48" s="12">
        <v>724</v>
      </c>
      <c r="BH48" s="10">
        <v>0.98739658538096853</v>
      </c>
    </row>
    <row r="49" spans="58:60" x14ac:dyDescent="0.25">
      <c r="BF49" s="14"/>
      <c r="BG49" s="6">
        <v>724.99999999999977</v>
      </c>
      <c r="BH49" s="4">
        <v>0.98375577107799062</v>
      </c>
    </row>
    <row r="50" spans="58:60" x14ac:dyDescent="0.25">
      <c r="BH50"/>
    </row>
    <row r="51" spans="58:60" x14ac:dyDescent="0.25">
      <c r="BH51"/>
    </row>
    <row r="52" spans="58:60" x14ac:dyDescent="0.25">
      <c r="BH52"/>
    </row>
  </sheetData>
  <autoFilter ref="BG12:BH49" xr:uid="{0AD4ED84-AD5B-42D8-B3C3-AAC4C8D3E0C0}">
    <sortState xmlns:xlrd2="http://schemas.microsoft.com/office/spreadsheetml/2017/richdata2" ref="BG13:BH49">
      <sortCondition ref="BG12:BG49"/>
    </sortState>
  </autoFilter>
  <mergeCells count="10">
    <mergeCell ref="L4:P4"/>
    <mergeCell ref="Q4:U4"/>
    <mergeCell ref="V4:Z4"/>
    <mergeCell ref="AA4:AE4"/>
    <mergeCell ref="AK4:AO4"/>
    <mergeCell ref="BG4:BH4"/>
    <mergeCell ref="AF4:AI4"/>
    <mergeCell ref="AP4:AT4"/>
    <mergeCell ref="AU4:AY4"/>
    <mergeCell ref="AZ4:BD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Autosampler - FID</vt:lpstr>
      <vt:lpstr>Autosampler - TCD</vt:lpstr>
      <vt:lpstr>Autosampler - ECD</vt:lpstr>
      <vt:lpstr>Aqueous 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reid_lab</dc:creator>
  <cp:lastModifiedBy>Phil McGuire</cp:lastModifiedBy>
  <dcterms:created xsi:type="dcterms:W3CDTF">2017-11-13T18:12:49Z</dcterms:created>
  <dcterms:modified xsi:type="dcterms:W3CDTF">2020-01-07T22:00:14Z</dcterms:modified>
</cp:coreProperties>
</file>