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pmm262_cornell_edu/Documents/Documents/First Publication Tracer Tests/"/>
    </mc:Choice>
  </mc:AlternateContent>
  <xr:revisionPtr revIDLastSave="306" documentId="8_{63B69B91-4469-4C16-89A5-2B7E6009B539}" xr6:coauthVersionLast="34" xr6:coauthVersionMax="34" xr10:uidLastSave="{3327BA53-66A6-4BBF-8091-581369107995}"/>
  <bookViews>
    <workbookView xWindow="0" yWindow="0" windowWidth="28800" windowHeight="12210" activeTab="3" xr2:uid="{00000000-000D-0000-FFFF-FFFF00000000}"/>
  </bookViews>
  <sheets>
    <sheet name="Autosampler - FID" sheetId="1" r:id="rId1"/>
    <sheet name="Autosampler - TCD" sheetId="2" r:id="rId2"/>
    <sheet name="Autosampler - ECD" sheetId="3" r:id="rId3"/>
    <sheet name="Aqueous Samples" sheetId="4" r:id="rId4"/>
  </sheets>
  <definedNames>
    <definedName name="_xlnm._FilterDatabase" localSheetId="3" hidden="1">'Aqueous Samples'!$BG$5:$BG$49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2" i="4" l="1"/>
  <c r="AY31" i="4"/>
  <c r="AX32" i="4"/>
  <c r="AX31" i="4"/>
  <c r="AW32" i="4"/>
  <c r="AW31" i="4"/>
  <c r="AV32" i="4"/>
  <c r="AV31" i="4"/>
  <c r="AU32" i="4"/>
  <c r="AU31" i="4"/>
  <c r="AY29" i="4"/>
  <c r="AY28" i="4"/>
  <c r="AX29" i="4"/>
  <c r="AX28" i="4"/>
  <c r="AW29" i="4"/>
  <c r="AW28" i="4"/>
  <c r="AV29" i="4"/>
  <c r="AV28" i="4"/>
  <c r="AU29" i="4"/>
  <c r="AU28" i="4"/>
  <c r="AY24" i="4"/>
  <c r="AY25" i="4"/>
  <c r="AY26" i="4"/>
  <c r="AY23" i="4"/>
  <c r="AX24" i="4"/>
  <c r="AX25" i="4"/>
  <c r="AX26" i="4"/>
  <c r="AX23" i="4"/>
  <c r="AW24" i="4"/>
  <c r="AW25" i="4"/>
  <c r="AW26" i="4"/>
  <c r="AW23" i="4"/>
  <c r="AV24" i="4"/>
  <c r="AV25" i="4"/>
  <c r="AV26" i="4"/>
  <c r="AV23" i="4"/>
  <c r="AU24" i="4"/>
  <c r="AU25" i="4"/>
  <c r="AU26" i="4"/>
  <c r="AU23" i="4"/>
  <c r="AY13" i="4"/>
  <c r="AY14" i="4"/>
  <c r="AY15" i="4"/>
  <c r="AY16" i="4"/>
  <c r="AY17" i="4"/>
  <c r="AY18" i="4"/>
  <c r="AY19" i="4"/>
  <c r="AY20" i="4"/>
  <c r="AY21" i="4"/>
  <c r="AY12" i="4"/>
  <c r="AW12" i="4"/>
  <c r="AX13" i="4"/>
  <c r="AX14" i="4"/>
  <c r="AX15" i="4"/>
  <c r="AX16" i="4"/>
  <c r="AX17" i="4"/>
  <c r="AX18" i="4"/>
  <c r="AX19" i="4"/>
  <c r="AX20" i="4"/>
  <c r="AX21" i="4"/>
  <c r="AX12" i="4"/>
  <c r="AW13" i="4"/>
  <c r="AW14" i="4"/>
  <c r="AW15" i="4"/>
  <c r="AW16" i="4"/>
  <c r="AW17" i="4"/>
  <c r="AW18" i="4"/>
  <c r="AW19" i="4"/>
  <c r="AW20" i="4"/>
  <c r="AW21" i="4"/>
  <c r="AV13" i="4"/>
  <c r="AV14" i="4"/>
  <c r="AV15" i="4"/>
  <c r="AV16" i="4"/>
  <c r="AV17" i="4"/>
  <c r="AV18" i="4"/>
  <c r="AV19" i="4"/>
  <c r="AV20" i="4"/>
  <c r="AV21" i="4"/>
  <c r="AV12" i="4"/>
  <c r="AV36" i="4"/>
  <c r="AW36" i="4"/>
  <c r="AX36" i="4"/>
  <c r="AY36" i="4"/>
  <c r="AU36" i="4"/>
  <c r="AV33" i="4"/>
  <c r="AW33" i="4"/>
  <c r="AX33" i="4"/>
  <c r="AY33" i="4"/>
  <c r="AU33" i="4"/>
  <c r="AV30" i="4"/>
  <c r="AW30" i="4"/>
  <c r="AX30" i="4"/>
  <c r="AY30" i="4"/>
  <c r="AU30" i="4"/>
  <c r="AV27" i="4"/>
  <c r="AW27" i="4"/>
  <c r="AX27" i="4"/>
  <c r="AY27" i="4"/>
  <c r="AU27" i="4"/>
  <c r="AV22" i="4"/>
  <c r="AW22" i="4"/>
  <c r="AX22" i="4"/>
  <c r="AY22" i="4"/>
  <c r="AU22" i="4"/>
  <c r="E12" i="4" l="1"/>
  <c r="U34" i="4" l="1"/>
  <c r="Z34" i="4" s="1"/>
  <c r="U35" i="4"/>
  <c r="Z35" i="4" s="1"/>
  <c r="U36" i="4"/>
  <c r="Z36" i="4" s="1"/>
  <c r="T34" i="4"/>
  <c r="AD34" i="4" s="1"/>
  <c r="T35" i="4"/>
  <c r="Y35" i="4" s="1"/>
  <c r="T36" i="4"/>
  <c r="Y36" i="4" s="1"/>
  <c r="S34" i="4"/>
  <c r="X34" i="4" s="1"/>
  <c r="S35" i="4"/>
  <c r="AC35" i="4" s="1"/>
  <c r="S36" i="4"/>
  <c r="X36" i="4" s="1"/>
  <c r="R34" i="4"/>
  <c r="W34" i="4" s="1"/>
  <c r="R35" i="4"/>
  <c r="W35" i="4" s="1"/>
  <c r="R36" i="4"/>
  <c r="AB36" i="4" s="1"/>
  <c r="Q34" i="4"/>
  <c r="V34" i="4" s="1"/>
  <c r="Q35" i="4"/>
  <c r="V35" i="4" s="1"/>
  <c r="Q36" i="4"/>
  <c r="V36" i="4" s="1"/>
  <c r="J36" i="4"/>
  <c r="K36" i="4"/>
  <c r="J35" i="4"/>
  <c r="K35" i="4"/>
  <c r="J34" i="4"/>
  <c r="K34" i="4"/>
  <c r="E36" i="4"/>
  <c r="D36" i="4" s="1"/>
  <c r="E35" i="4"/>
  <c r="D35" i="4" s="1"/>
  <c r="E34" i="4"/>
  <c r="D34" i="4" s="1"/>
  <c r="AA36" i="4" l="1"/>
  <c r="W36" i="4"/>
  <c r="AG36" i="4" s="1"/>
  <c r="AL36" i="4" s="1"/>
  <c r="AB35" i="4"/>
  <c r="AG35" i="4" s="1"/>
  <c r="AL35" i="4" s="1"/>
  <c r="AF36" i="4"/>
  <c r="AK36" i="4" s="1"/>
  <c r="X35" i="4"/>
  <c r="AH35" i="4" s="1"/>
  <c r="AM35" i="4" s="1"/>
  <c r="AC34" i="4"/>
  <c r="AH34" i="4" s="1"/>
  <c r="AM34" i="4" s="1"/>
  <c r="Y34" i="4"/>
  <c r="AI34" i="4" s="1"/>
  <c r="AN34" i="4" s="1"/>
  <c r="AE36" i="4"/>
  <c r="AJ36" i="4" s="1"/>
  <c r="AO36" i="4" s="1"/>
  <c r="AA35" i="4"/>
  <c r="AF35" i="4" s="1"/>
  <c r="AK35" i="4" s="1"/>
  <c r="AB34" i="4"/>
  <c r="AG34" i="4" s="1"/>
  <c r="AL34" i="4" s="1"/>
  <c r="AD36" i="4"/>
  <c r="AI36" i="4" s="1"/>
  <c r="AN36" i="4" s="1"/>
  <c r="AE35" i="4"/>
  <c r="AJ35" i="4" s="1"/>
  <c r="AO35" i="4" s="1"/>
  <c r="AA34" i="4"/>
  <c r="AF34" i="4" s="1"/>
  <c r="AK34" i="4" s="1"/>
  <c r="AC36" i="4"/>
  <c r="AH36" i="4" s="1"/>
  <c r="AM36" i="4" s="1"/>
  <c r="AD35" i="4"/>
  <c r="AI35" i="4" s="1"/>
  <c r="AN35" i="4" s="1"/>
  <c r="AE34" i="4"/>
  <c r="AJ34" i="4" s="1"/>
  <c r="AO34" i="4" s="1"/>
  <c r="T6" i="4"/>
  <c r="T7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S7" i="4"/>
  <c r="S8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6" i="4"/>
  <c r="R7" i="4"/>
  <c r="R8" i="4"/>
  <c r="R18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6" i="4"/>
  <c r="Q7" i="4"/>
  <c r="Q8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6" i="4"/>
  <c r="V6" i="4" s="1"/>
  <c r="U7" i="4"/>
  <c r="U8" i="4"/>
  <c r="AE8" i="4" s="1"/>
  <c r="U9" i="4"/>
  <c r="Z9" i="4" s="1"/>
  <c r="U10" i="4"/>
  <c r="Z10" i="4" s="1"/>
  <c r="U11" i="4"/>
  <c r="U12" i="4"/>
  <c r="AE12" i="4" s="1"/>
  <c r="U13" i="4"/>
  <c r="Z13" i="4" s="1"/>
  <c r="U14" i="4"/>
  <c r="AE14" i="4" s="1"/>
  <c r="U15" i="4"/>
  <c r="U16" i="4"/>
  <c r="AE16" i="4" s="1"/>
  <c r="U17" i="4"/>
  <c r="AE17" i="4" s="1"/>
  <c r="U18" i="4"/>
  <c r="Z18" i="4" s="1"/>
  <c r="U19" i="4"/>
  <c r="U20" i="4"/>
  <c r="AE20" i="4" s="1"/>
  <c r="U21" i="4"/>
  <c r="Z21" i="4" s="1"/>
  <c r="U22" i="4"/>
  <c r="AE22" i="4" s="1"/>
  <c r="U23" i="4"/>
  <c r="U24" i="4"/>
  <c r="AE24" i="4" s="1"/>
  <c r="U25" i="4"/>
  <c r="AE25" i="4" s="1"/>
  <c r="U26" i="4"/>
  <c r="Z26" i="4" s="1"/>
  <c r="U27" i="4"/>
  <c r="U28" i="4"/>
  <c r="AE28" i="4" s="1"/>
  <c r="U29" i="4"/>
  <c r="AE29" i="4" s="1"/>
  <c r="U30" i="4"/>
  <c r="AE30" i="4" s="1"/>
  <c r="U31" i="4"/>
  <c r="U32" i="4"/>
  <c r="AE32" i="4" s="1"/>
  <c r="U33" i="4"/>
  <c r="Z33" i="4" s="1"/>
  <c r="U6" i="4"/>
  <c r="Z6" i="4" s="1"/>
  <c r="AE6" i="4" l="1"/>
  <c r="AE13" i="4"/>
  <c r="Z25" i="4"/>
  <c r="Z14" i="4"/>
  <c r="AE33" i="4"/>
  <c r="AE21" i="4"/>
  <c r="AE10" i="4"/>
  <c r="Z29" i="4"/>
  <c r="Z17" i="4"/>
  <c r="Z22" i="4"/>
  <c r="AE18" i="4"/>
  <c r="AE9" i="4"/>
  <c r="Z30" i="4"/>
  <c r="AE26" i="4"/>
  <c r="AE31" i="4"/>
  <c r="Z31" i="4"/>
  <c r="AE27" i="4"/>
  <c r="Z27" i="4"/>
  <c r="AE23" i="4"/>
  <c r="Z23" i="4"/>
  <c r="AE19" i="4"/>
  <c r="Z19" i="4"/>
  <c r="AE15" i="4"/>
  <c r="Z15" i="4"/>
  <c r="AE11" i="4"/>
  <c r="Z11" i="4"/>
  <c r="AE7" i="4"/>
  <c r="Z7" i="4"/>
  <c r="Z32" i="4"/>
  <c r="Z28" i="4"/>
  <c r="Z24" i="4"/>
  <c r="Z20" i="4"/>
  <c r="Z16" i="4"/>
  <c r="Z12" i="4"/>
  <c r="Z8" i="4"/>
  <c r="D12" i="4"/>
  <c r="E13" i="4"/>
  <c r="D13" i="4" s="1"/>
  <c r="E14" i="4"/>
  <c r="D14" i="4" s="1"/>
  <c r="E15" i="4"/>
  <c r="D15" i="4" s="1"/>
  <c r="E16" i="4"/>
  <c r="D16" i="4" s="1"/>
  <c r="AD11" i="4" l="1"/>
  <c r="AD12" i="4"/>
  <c r="AD13" i="4"/>
  <c r="AD14" i="4"/>
  <c r="AD15" i="4"/>
  <c r="AD16" i="4"/>
  <c r="AD17" i="4"/>
  <c r="AD18" i="4"/>
  <c r="AD19" i="4"/>
  <c r="AD21" i="4"/>
  <c r="Y11" i="4"/>
  <c r="Y12" i="4"/>
  <c r="Y13" i="4"/>
  <c r="Y14" i="4"/>
  <c r="Y15" i="4"/>
  <c r="Y16" i="4"/>
  <c r="Y17" i="4"/>
  <c r="Y18" i="4"/>
  <c r="Y19" i="4"/>
  <c r="Y21" i="4"/>
  <c r="AD7" i="4"/>
  <c r="T8" i="4"/>
  <c r="Y9" i="4"/>
  <c r="AA7" i="4"/>
  <c r="AA9" i="4"/>
  <c r="V11" i="4"/>
  <c r="AA12" i="4"/>
  <c r="V13" i="4"/>
  <c r="AA14" i="4"/>
  <c r="AA15" i="4"/>
  <c r="V16" i="4"/>
  <c r="V17" i="4"/>
  <c r="V18" i="4"/>
  <c r="AA19" i="4"/>
  <c r="AA20" i="4"/>
  <c r="AA21" i="4"/>
  <c r="AA22" i="4"/>
  <c r="V23" i="4"/>
  <c r="AA24" i="4"/>
  <c r="AA25" i="4"/>
  <c r="AA26" i="4"/>
  <c r="AA28" i="4"/>
  <c r="AA30" i="4"/>
  <c r="AA32" i="4"/>
  <c r="AC6" i="4"/>
  <c r="AA6" i="4"/>
  <c r="V9" i="4" l="1"/>
  <c r="AA31" i="4"/>
  <c r="V31" i="4"/>
  <c r="AA27" i="4"/>
  <c r="V27" i="4"/>
  <c r="AB30" i="4"/>
  <c r="W30" i="4"/>
  <c r="AB26" i="4"/>
  <c r="W26" i="4"/>
  <c r="AB22" i="4"/>
  <c r="W22" i="4"/>
  <c r="AB18" i="4"/>
  <c r="W18" i="4"/>
  <c r="AB14" i="4"/>
  <c r="W14" i="4"/>
  <c r="AB10" i="4"/>
  <c r="W10" i="4"/>
  <c r="AC33" i="4"/>
  <c r="X33" i="4"/>
  <c r="AC29" i="4"/>
  <c r="X29" i="4"/>
  <c r="AC25" i="4"/>
  <c r="X25" i="4"/>
  <c r="AC21" i="4"/>
  <c r="X21" i="4"/>
  <c r="AC17" i="4"/>
  <c r="X17" i="4"/>
  <c r="AC13" i="4"/>
  <c r="X13" i="4"/>
  <c r="AC9" i="4"/>
  <c r="X9" i="4"/>
  <c r="AD32" i="4"/>
  <c r="Y32" i="4"/>
  <c r="AD28" i="4"/>
  <c r="Y28" i="4"/>
  <c r="AD24" i="4"/>
  <c r="Y24" i="4"/>
  <c r="AD10" i="4"/>
  <c r="Y10" i="4"/>
  <c r="V26" i="4"/>
  <c r="W27" i="4"/>
  <c r="AB27" i="4"/>
  <c r="AB6" i="4"/>
  <c r="W6" i="4"/>
  <c r="AA8" i="4"/>
  <c r="V8" i="4"/>
  <c r="W31" i="4"/>
  <c r="AB31" i="4"/>
  <c r="W23" i="4"/>
  <c r="AB23" i="4"/>
  <c r="W19" i="4"/>
  <c r="AB19" i="4"/>
  <c r="W15" i="4"/>
  <c r="AB15" i="4"/>
  <c r="W11" i="4"/>
  <c r="AB11" i="4"/>
  <c r="W7" i="4"/>
  <c r="AB7" i="4"/>
  <c r="X30" i="4"/>
  <c r="AC30" i="4"/>
  <c r="X26" i="4"/>
  <c r="AC26" i="4"/>
  <c r="X22" i="4"/>
  <c r="AC22" i="4"/>
  <c r="X14" i="4"/>
  <c r="AC14" i="4"/>
  <c r="X10" i="4"/>
  <c r="AC10" i="4"/>
  <c r="Y33" i="4"/>
  <c r="AD33" i="4"/>
  <c r="Y29" i="4"/>
  <c r="AD29" i="4"/>
  <c r="Y25" i="4"/>
  <c r="AD25" i="4"/>
  <c r="AD20" i="4"/>
  <c r="Y20" i="4"/>
  <c r="V28" i="4"/>
  <c r="X6" i="4"/>
  <c r="AD6" i="4"/>
  <c r="Y6" i="4"/>
  <c r="AA10" i="4"/>
  <c r="V10" i="4"/>
  <c r="AB33" i="4"/>
  <c r="W33" i="4"/>
  <c r="AB29" i="4"/>
  <c r="W29" i="4"/>
  <c r="AB25" i="4"/>
  <c r="W25" i="4"/>
  <c r="AB21" i="4"/>
  <c r="W21" i="4"/>
  <c r="AB17" i="4"/>
  <c r="W17" i="4"/>
  <c r="AB13" i="4"/>
  <c r="W13" i="4"/>
  <c r="AB9" i="4"/>
  <c r="W9" i="4"/>
  <c r="AC32" i="4"/>
  <c r="X32" i="4"/>
  <c r="AC28" i="4"/>
  <c r="X28" i="4"/>
  <c r="AC24" i="4"/>
  <c r="X24" i="4"/>
  <c r="AC20" i="4"/>
  <c r="X20" i="4"/>
  <c r="AC16" i="4"/>
  <c r="X16" i="4"/>
  <c r="AC12" i="4"/>
  <c r="X12" i="4"/>
  <c r="AC8" i="4"/>
  <c r="X8" i="4"/>
  <c r="AD31" i="4"/>
  <c r="Y31" i="4"/>
  <c r="AD27" i="4"/>
  <c r="Y27" i="4"/>
  <c r="AD23" i="4"/>
  <c r="Y23" i="4"/>
  <c r="V32" i="4"/>
  <c r="AA33" i="4"/>
  <c r="V33" i="4"/>
  <c r="AA29" i="4"/>
  <c r="V29" i="4"/>
  <c r="AB32" i="4"/>
  <c r="W32" i="4"/>
  <c r="AB28" i="4"/>
  <c r="W28" i="4"/>
  <c r="AB24" i="4"/>
  <c r="W24" i="4"/>
  <c r="AB20" i="4"/>
  <c r="W20" i="4"/>
  <c r="AB16" i="4"/>
  <c r="W16" i="4"/>
  <c r="AB12" i="4"/>
  <c r="W12" i="4"/>
  <c r="AB8" i="4"/>
  <c r="W8" i="4"/>
  <c r="AC31" i="4"/>
  <c r="X31" i="4"/>
  <c r="AC27" i="4"/>
  <c r="X27" i="4"/>
  <c r="AC23" i="4"/>
  <c r="X23" i="4"/>
  <c r="AC19" i="4"/>
  <c r="X19" i="4"/>
  <c r="AC15" i="4"/>
  <c r="X15" i="4"/>
  <c r="AC11" i="4"/>
  <c r="X11" i="4"/>
  <c r="AC7" i="4"/>
  <c r="X7" i="4"/>
  <c r="AD30" i="4"/>
  <c r="Y30" i="4"/>
  <c r="AD26" i="4"/>
  <c r="Y26" i="4"/>
  <c r="AD22" i="4"/>
  <c r="Y22" i="4"/>
  <c r="AD8" i="4"/>
  <c r="Y8" i="4"/>
  <c r="V30" i="4"/>
  <c r="V7" i="4"/>
  <c r="X18" i="4"/>
  <c r="AC18" i="4"/>
  <c r="AD9" i="4"/>
  <c r="Y7" i="4"/>
  <c r="V14" i="4"/>
  <c r="AA17" i="4"/>
  <c r="AA18" i="4"/>
  <c r="V19" i="4"/>
  <c r="V24" i="4"/>
  <c r="V25" i="4"/>
  <c r="AA23" i="4"/>
  <c r="V22" i="4"/>
  <c r="V21" i="4"/>
  <c r="V20" i="4"/>
  <c r="AA16" i="4"/>
  <c r="V15" i="4"/>
  <c r="AA13" i="4"/>
  <c r="V12" i="4"/>
  <c r="AA11" i="4"/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J7" i="4"/>
  <c r="AJ7" i="4" s="1"/>
  <c r="AO7" i="4" s="1"/>
  <c r="J8" i="4"/>
  <c r="J9" i="4"/>
  <c r="J10" i="4"/>
  <c r="J11" i="4"/>
  <c r="AJ11" i="4" s="1"/>
  <c r="AO11" i="4" s="1"/>
  <c r="J12" i="4"/>
  <c r="J13" i="4"/>
  <c r="J14" i="4"/>
  <c r="J15" i="4"/>
  <c r="J16" i="4"/>
  <c r="J17" i="4"/>
  <c r="J18" i="4"/>
  <c r="J19" i="4"/>
  <c r="AJ19" i="4" s="1"/>
  <c r="AO19" i="4" s="1"/>
  <c r="J20" i="4"/>
  <c r="J21" i="4"/>
  <c r="J22" i="4"/>
  <c r="J23" i="4"/>
  <c r="AJ23" i="4" s="1"/>
  <c r="AO23" i="4" s="1"/>
  <c r="J24" i="4"/>
  <c r="J25" i="4"/>
  <c r="J26" i="4"/>
  <c r="J27" i="4"/>
  <c r="J28" i="4"/>
  <c r="J29" i="4"/>
  <c r="J30" i="4"/>
  <c r="J31" i="4"/>
  <c r="J32" i="4"/>
  <c r="J33" i="4"/>
  <c r="J6" i="4"/>
  <c r="K6" i="4"/>
  <c r="E18" i="4"/>
  <c r="D18" i="4" s="1"/>
  <c r="E19" i="4"/>
  <c r="D19" i="4" s="1"/>
  <c r="E20" i="4"/>
  <c r="D20" i="4" s="1"/>
  <c r="E21" i="4"/>
  <c r="D21" i="4" s="1"/>
  <c r="E22" i="4"/>
  <c r="D22" i="4" s="1"/>
  <c r="E23" i="4"/>
  <c r="D23" i="4" s="1"/>
  <c r="E24" i="4"/>
  <c r="D24" i="4" s="1"/>
  <c r="E25" i="4"/>
  <c r="D25" i="4" s="1"/>
  <c r="E26" i="4"/>
  <c r="D26" i="4" s="1"/>
  <c r="E27" i="4"/>
  <c r="D27" i="4" s="1"/>
  <c r="E28" i="4"/>
  <c r="D28" i="4" s="1"/>
  <c r="E29" i="4"/>
  <c r="D29" i="4" s="1"/>
  <c r="E30" i="4"/>
  <c r="D30" i="4" s="1"/>
  <c r="E31" i="4"/>
  <c r="D31" i="4" s="1"/>
  <c r="E32" i="4"/>
  <c r="D32" i="4" s="1"/>
  <c r="E33" i="4"/>
  <c r="D33" i="4" s="1"/>
  <c r="E17" i="4"/>
  <c r="D17" i="4" s="1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6" i="1"/>
  <c r="AJ15" i="4" l="1"/>
  <c r="AO15" i="4" s="1"/>
  <c r="AJ32" i="4"/>
  <c r="AO32" i="4" s="1"/>
  <c r="AJ28" i="4"/>
  <c r="AO28" i="4" s="1"/>
  <c r="AJ24" i="4"/>
  <c r="AO24" i="4" s="1"/>
  <c r="AJ20" i="4"/>
  <c r="AO20" i="4" s="1"/>
  <c r="AJ16" i="4"/>
  <c r="AO16" i="4" s="1"/>
  <c r="AH31" i="4"/>
  <c r="AM31" i="4" s="1"/>
  <c r="AJ31" i="4"/>
  <c r="AO31" i="4" s="1"/>
  <c r="AI27" i="4"/>
  <c r="AN27" i="4" s="1"/>
  <c r="AJ27" i="4"/>
  <c r="AO27" i="4" s="1"/>
  <c r="AJ30" i="4"/>
  <c r="AO30" i="4" s="1"/>
  <c r="AJ22" i="4"/>
  <c r="AO22" i="4" s="1"/>
  <c r="AJ14" i="4"/>
  <c r="AO14" i="4" s="1"/>
  <c r="AJ33" i="4"/>
  <c r="AO33" i="4" s="1"/>
  <c r="AJ29" i="4"/>
  <c r="AO29" i="4" s="1"/>
  <c r="AJ25" i="4"/>
  <c r="AO25" i="4" s="1"/>
  <c r="AJ17" i="4"/>
  <c r="AO17" i="4" s="1"/>
  <c r="AJ13" i="4"/>
  <c r="AO13" i="4" s="1"/>
  <c r="AJ9" i="4"/>
  <c r="AO9" i="4" s="1"/>
  <c r="AF6" i="4"/>
  <c r="AK6" i="4" s="1"/>
  <c r="AJ6" i="4"/>
  <c r="AO6" i="4" s="1"/>
  <c r="AJ26" i="4"/>
  <c r="AO26" i="4" s="1"/>
  <c r="AJ18" i="4"/>
  <c r="AO18" i="4" s="1"/>
  <c r="AJ10" i="4"/>
  <c r="AO10" i="4" s="1"/>
  <c r="AI12" i="4"/>
  <c r="AN12" i="4" s="1"/>
  <c r="AJ12" i="4"/>
  <c r="AO12" i="4" s="1"/>
  <c r="AH8" i="4"/>
  <c r="AM8" i="4" s="1"/>
  <c r="AJ8" i="4"/>
  <c r="AO8" i="4" s="1"/>
  <c r="AJ21" i="4"/>
  <c r="AO21" i="4" s="1"/>
  <c r="AF7" i="4"/>
  <c r="AK7" i="4" s="1"/>
  <c r="AH33" i="4"/>
  <c r="AM33" i="4" s="1"/>
  <c r="AI32" i="4"/>
  <c r="AN32" i="4" s="1"/>
  <c r="AH30" i="4"/>
  <c r="AM30" i="4" s="1"/>
  <c r="AF29" i="4"/>
  <c r="AK29" i="4" s="1"/>
  <c r="AI28" i="4"/>
  <c r="AN28" i="4" s="1"/>
  <c r="AI26" i="4"/>
  <c r="AN26" i="4" s="1"/>
  <c r="AI25" i="4"/>
  <c r="AN25" i="4" s="1"/>
  <c r="AG24" i="4"/>
  <c r="AL24" i="4" s="1"/>
  <c r="AI23" i="4"/>
  <c r="AN23" i="4" s="1"/>
  <c r="AF22" i="4"/>
  <c r="AK22" i="4" s="1"/>
  <c r="AF21" i="4"/>
  <c r="AK21" i="4" s="1"/>
  <c r="AF20" i="4"/>
  <c r="AK20" i="4" s="1"/>
  <c r="AI18" i="4"/>
  <c r="AN18" i="4" s="1"/>
  <c r="AH17" i="4"/>
  <c r="AM17" i="4" s="1"/>
  <c r="AI16" i="4"/>
  <c r="AN16" i="4" s="1"/>
  <c r="AI14" i="4"/>
  <c r="AN14" i="4" s="1"/>
  <c r="AG10" i="4"/>
  <c r="AL10" i="4" s="1"/>
  <c r="AG9" i="4"/>
  <c r="AL9" i="4" s="1"/>
  <c r="AH7" i="4"/>
  <c r="AM7" i="4" s="1"/>
  <c r="AI19" i="4"/>
  <c r="AN19" i="4" s="1"/>
  <c r="AI15" i="4"/>
  <c r="AN15" i="4" s="1"/>
  <c r="AI11" i="4"/>
  <c r="AN11" i="4" s="1"/>
  <c r="AG27" i="4"/>
  <c r="AL27" i="4" s="1"/>
  <c r="AH26" i="4"/>
  <c r="AM26" i="4" s="1"/>
  <c r="AF28" i="4"/>
  <c r="AK28" i="4" s="1"/>
  <c r="AG16" i="4"/>
  <c r="AL16" i="4" s="1"/>
  <c r="AH11" i="4"/>
  <c r="AM11" i="4" s="1"/>
  <c r="AF17" i="4"/>
  <c r="AK17" i="4" s="1"/>
  <c r="AG30" i="4"/>
  <c r="AL30" i="4" s="1"/>
  <c r="AH25" i="4"/>
  <c r="AM25" i="4" s="1"/>
  <c r="AI10" i="4"/>
  <c r="AN10" i="4" s="1"/>
  <c r="AG29" i="4"/>
  <c r="AL29" i="4" s="1"/>
  <c r="AH24" i="4"/>
  <c r="AM24" i="4" s="1"/>
  <c r="AF32" i="4"/>
  <c r="AK32" i="4" s="1"/>
  <c r="AF23" i="4"/>
  <c r="AK23" i="4" s="1"/>
  <c r="AG31" i="4"/>
  <c r="AL31" i="4" s="1"/>
  <c r="AH22" i="4"/>
  <c r="AM22" i="4" s="1"/>
  <c r="AG28" i="4"/>
  <c r="AL28" i="4" s="1"/>
  <c r="AH23" i="4"/>
  <c r="AM23" i="4" s="1"/>
  <c r="AI8" i="4"/>
  <c r="AN8" i="4" s="1"/>
  <c r="AF27" i="4"/>
  <c r="AK27" i="4" s="1"/>
  <c r="AH29" i="4"/>
  <c r="AM29" i="4" s="1"/>
  <c r="AI24" i="4"/>
  <c r="AN24" i="4" s="1"/>
  <c r="AI6" i="4"/>
  <c r="AN6" i="4" s="1"/>
  <c r="AI31" i="4"/>
  <c r="AN31" i="4" s="1"/>
  <c r="AF24" i="4"/>
  <c r="AK24" i="4" s="1"/>
  <c r="AG23" i="4"/>
  <c r="AL23" i="4" s="1"/>
  <c r="AH14" i="4"/>
  <c r="AM14" i="4" s="1"/>
  <c r="AF33" i="4"/>
  <c r="AK33" i="4" s="1"/>
  <c r="AG8" i="4"/>
  <c r="AL8" i="4" s="1"/>
  <c r="AI30" i="4"/>
  <c r="AN30" i="4" s="1"/>
  <c r="AF25" i="4"/>
  <c r="AK25" i="4" s="1"/>
  <c r="AG22" i="4"/>
  <c r="AL22" i="4" s="1"/>
  <c r="AF8" i="4"/>
  <c r="AK8" i="4" s="1"/>
  <c r="AG21" i="4"/>
  <c r="AL21" i="4" s="1"/>
  <c r="AH16" i="4"/>
  <c r="AM16" i="4" s="1"/>
  <c r="AH18" i="4"/>
  <c r="AM18" i="4" s="1"/>
  <c r="AF16" i="4"/>
  <c r="AK16" i="4" s="1"/>
  <c r="AG19" i="4"/>
  <c r="AL19" i="4" s="1"/>
  <c r="AH10" i="4"/>
  <c r="AM10" i="4" s="1"/>
  <c r="AG20" i="4"/>
  <c r="AL20" i="4" s="1"/>
  <c r="AH15" i="4"/>
  <c r="AM15" i="4" s="1"/>
  <c r="AF19" i="4"/>
  <c r="AK19" i="4" s="1"/>
  <c r="AG26" i="4"/>
  <c r="AL26" i="4" s="1"/>
  <c r="AH21" i="4"/>
  <c r="AM21" i="4" s="1"/>
  <c r="AF26" i="4"/>
  <c r="AK26" i="4" s="1"/>
  <c r="AG33" i="4"/>
  <c r="AL33" i="4" s="1"/>
  <c r="AH28" i="4"/>
  <c r="AM28" i="4" s="1"/>
  <c r="AI21" i="4"/>
  <c r="AN21" i="4" s="1"/>
  <c r="AI17" i="4"/>
  <c r="AN17" i="4" s="1"/>
  <c r="AI13" i="4"/>
  <c r="AN13" i="4" s="1"/>
  <c r="AI9" i="4"/>
  <c r="AN9" i="4" s="1"/>
  <c r="AF9" i="4"/>
  <c r="AK9" i="4" s="1"/>
  <c r="AG15" i="4"/>
  <c r="AL15" i="4" s="1"/>
  <c r="AI33" i="4"/>
  <c r="AN33" i="4" s="1"/>
  <c r="AG32" i="4"/>
  <c r="AL32" i="4" s="1"/>
  <c r="AH27" i="4"/>
  <c r="AM27" i="4" s="1"/>
  <c r="AI22" i="4"/>
  <c r="AN22" i="4" s="1"/>
  <c r="AF12" i="4"/>
  <c r="AK12" i="4" s="1"/>
  <c r="AG14" i="4"/>
  <c r="AL14" i="4" s="1"/>
  <c r="AH9" i="4"/>
  <c r="AM9" i="4" s="1"/>
  <c r="AH6" i="4"/>
  <c r="AM6" i="4" s="1"/>
  <c r="AG13" i="4"/>
  <c r="AL13" i="4" s="1"/>
  <c r="AI7" i="4"/>
  <c r="AN7" i="4" s="1"/>
  <c r="AX9" i="4" s="1"/>
  <c r="AF11" i="4"/>
  <c r="AK11" i="4" s="1"/>
  <c r="AG11" i="4"/>
  <c r="AL11" i="4" s="1"/>
  <c r="AI29" i="4"/>
  <c r="AN29" i="4" s="1"/>
  <c r="AG12" i="4"/>
  <c r="AL12" i="4" s="1"/>
  <c r="AG18" i="4"/>
  <c r="AL18" i="4" s="1"/>
  <c r="AH13" i="4"/>
  <c r="AM13" i="4" s="1"/>
  <c r="AG6" i="4"/>
  <c r="AL6" i="4" s="1"/>
  <c r="AG25" i="4"/>
  <c r="AL25" i="4" s="1"/>
  <c r="AH20" i="4"/>
  <c r="AM20" i="4" s="1"/>
  <c r="AF30" i="4"/>
  <c r="AK30" i="4" s="1"/>
  <c r="AF13" i="4"/>
  <c r="AK13" i="4" s="1"/>
  <c r="AG7" i="4"/>
  <c r="AL7" i="4" s="1"/>
  <c r="AH19" i="4"/>
  <c r="AM19" i="4" s="1"/>
  <c r="AF31" i="4"/>
  <c r="AK31" i="4" s="1"/>
  <c r="AF10" i="4"/>
  <c r="AK10" i="4" s="1"/>
  <c r="AH32" i="4"/>
  <c r="AM32" i="4" s="1"/>
  <c r="AF18" i="4"/>
  <c r="AK18" i="4" s="1"/>
  <c r="AF15" i="4"/>
  <c r="AK15" i="4" s="1"/>
  <c r="AI20" i="4"/>
  <c r="AN20" i="4" s="1"/>
  <c r="AG17" i="4"/>
  <c r="AL17" i="4" s="1"/>
  <c r="AH12" i="4"/>
  <c r="AM12" i="4" s="1"/>
  <c r="AF14" i="4"/>
  <c r="AK14" i="4" s="1"/>
  <c r="AQ18" i="4" l="1"/>
  <c r="AT18" i="4"/>
  <c r="AS18" i="4"/>
  <c r="AR18" i="4"/>
  <c r="AP36" i="4"/>
  <c r="AP35" i="4"/>
  <c r="AP34" i="4"/>
  <c r="AT36" i="4"/>
  <c r="AT35" i="4"/>
  <c r="AT34" i="4"/>
  <c r="AS34" i="4"/>
  <c r="AS35" i="4"/>
  <c r="AS36" i="4"/>
  <c r="AT13" i="4"/>
  <c r="AT16" i="4"/>
  <c r="AT17" i="4"/>
  <c r="AT14" i="4"/>
  <c r="AT15" i="4"/>
  <c r="AR35" i="4"/>
  <c r="AR34" i="4"/>
  <c r="AR36" i="4"/>
  <c r="AQ35" i="4"/>
  <c r="AQ34" i="4"/>
  <c r="AQ36" i="4"/>
  <c r="AT32" i="4"/>
  <c r="AT19" i="4"/>
  <c r="AT20" i="4"/>
  <c r="AT12" i="4"/>
  <c r="AT21" i="4"/>
  <c r="AT28" i="4"/>
  <c r="AT26" i="4"/>
  <c r="AT23" i="4"/>
  <c r="AT25" i="4"/>
  <c r="AT22" i="4"/>
  <c r="AT27" i="4"/>
  <c r="AT24" i="4"/>
  <c r="AR16" i="4"/>
  <c r="AR32" i="4"/>
  <c r="AR28" i="4"/>
  <c r="AR26" i="4"/>
  <c r="AR23" i="4"/>
  <c r="AR13" i="4"/>
  <c r="AW9" i="4"/>
  <c r="AR15" i="4"/>
  <c r="AR29" i="4"/>
  <c r="AR25" i="4"/>
  <c r="AR17" i="4"/>
  <c r="AY9" i="4"/>
  <c r="AT29" i="4"/>
  <c r="AT30" i="4"/>
  <c r="AT31" i="4"/>
  <c r="AR14" i="4"/>
  <c r="AR30" i="4"/>
  <c r="AR12" i="4"/>
  <c r="AR19" i="4"/>
  <c r="AR20" i="4"/>
  <c r="AR27" i="4"/>
  <c r="AR21" i="4"/>
  <c r="AR22" i="4"/>
  <c r="AR24" i="4"/>
  <c r="AR33" i="4"/>
  <c r="AT33" i="4"/>
  <c r="AR31" i="4"/>
  <c r="AV9" i="4"/>
  <c r="AU9" i="4"/>
  <c r="AS15" i="4"/>
  <c r="AS19" i="4"/>
  <c r="AS23" i="4"/>
  <c r="AS27" i="4"/>
  <c r="AS31" i="4"/>
  <c r="AS13" i="4"/>
  <c r="AS26" i="4"/>
  <c r="AS16" i="4"/>
  <c r="AS20" i="4"/>
  <c r="AS24" i="4"/>
  <c r="AS28" i="4"/>
  <c r="AS32" i="4"/>
  <c r="AS14" i="4"/>
  <c r="AS22" i="4"/>
  <c r="AS12" i="4"/>
  <c r="AS17" i="4"/>
  <c r="AS21" i="4"/>
  <c r="AS25" i="4"/>
  <c r="AS29" i="4"/>
  <c r="AS33" i="4"/>
  <c r="AS30" i="4"/>
  <c r="AQ15" i="4"/>
  <c r="AQ19" i="4"/>
  <c r="AQ23" i="4"/>
  <c r="AQ27" i="4"/>
  <c r="AQ31" i="4"/>
  <c r="AQ13" i="4"/>
  <c r="AQ26" i="4"/>
  <c r="AQ16" i="4"/>
  <c r="AQ20" i="4"/>
  <c r="AQ24" i="4"/>
  <c r="AQ28" i="4"/>
  <c r="AQ32" i="4"/>
  <c r="AQ14" i="4"/>
  <c r="AQ30" i="4"/>
  <c r="AQ17" i="4"/>
  <c r="AQ21" i="4"/>
  <c r="AQ25" i="4"/>
  <c r="AQ29" i="4"/>
  <c r="AQ33" i="4"/>
  <c r="AQ22" i="4"/>
  <c r="AQ12" i="4"/>
  <c r="AP14" i="4"/>
  <c r="AP12" i="4"/>
  <c r="AP13" i="4"/>
  <c r="AP15" i="4"/>
  <c r="AP31" i="4"/>
  <c r="AP29" i="4"/>
  <c r="AP30" i="4"/>
  <c r="AP26" i="4"/>
  <c r="AP16" i="4"/>
  <c r="AP23" i="4"/>
  <c r="AP20" i="4"/>
  <c r="AP18" i="4"/>
  <c r="AP33" i="4"/>
  <c r="AP24" i="4"/>
  <c r="AP32" i="4"/>
  <c r="AP21" i="4"/>
  <c r="AP22" i="4"/>
  <c r="AP25" i="4"/>
  <c r="AP27" i="4"/>
  <c r="AP28" i="4"/>
  <c r="AP19" i="4"/>
  <c r="AP17" i="4"/>
  <c r="BC12" i="4" l="1"/>
  <c r="BB33" i="4"/>
  <c r="BB36" i="4"/>
  <c r="BB15" i="4"/>
  <c r="BA16" i="4"/>
  <c r="BA28" i="4"/>
  <c r="BA27" i="4"/>
  <c r="BA24" i="4"/>
  <c r="BA31" i="4"/>
  <c r="BA32" i="4"/>
  <c r="BD29" i="4"/>
  <c r="BD20" i="4"/>
  <c r="BD36" i="4"/>
  <c r="BD18" i="4"/>
  <c r="AX35" i="4"/>
  <c r="BC35" i="4" s="1"/>
  <c r="BA36" i="4"/>
  <c r="BA26" i="4"/>
  <c r="BA23" i="4"/>
  <c r="BA25" i="4"/>
  <c r="BA29" i="4"/>
  <c r="BA30" i="4"/>
  <c r="BA33" i="4"/>
  <c r="BB18" i="4" l="1"/>
  <c r="BB17" i="4"/>
  <c r="BD23" i="4"/>
  <c r="BD19" i="4"/>
  <c r="BD21" i="4"/>
  <c r="AW35" i="4"/>
  <c r="BB35" i="4" s="1"/>
  <c r="BB20" i="4"/>
  <c r="BB21" i="4"/>
  <c r="BB19" i="4"/>
  <c r="BB22" i="4"/>
  <c r="BB12" i="4"/>
  <c r="BB30" i="4"/>
  <c r="BB31" i="4"/>
  <c r="BB32" i="4"/>
  <c r="BB28" i="4"/>
  <c r="BB26" i="4"/>
  <c r="BB27" i="4"/>
  <c r="AW34" i="4"/>
  <c r="BB34" i="4" s="1"/>
  <c r="BB29" i="4"/>
  <c r="BB25" i="4"/>
  <c r="BB16" i="4"/>
  <c r="AY34" i="4"/>
  <c r="BD34" i="4" s="1"/>
  <c r="AY35" i="4"/>
  <c r="BD35" i="4" s="1"/>
  <c r="BD26" i="4"/>
  <c r="BD27" i="4"/>
  <c r="BD28" i="4"/>
  <c r="BD33" i="4"/>
  <c r="BD25" i="4"/>
  <c r="BD22" i="4"/>
  <c r="BD24" i="4"/>
  <c r="BD31" i="4"/>
  <c r="BD32" i="4"/>
  <c r="BC36" i="4"/>
  <c r="AX34" i="4"/>
  <c r="BC34" i="4" s="1"/>
  <c r="AV35" i="4"/>
  <c r="BA35" i="4" s="1"/>
  <c r="AV34" i="4"/>
  <c r="BA34" i="4" s="1"/>
  <c r="BC13" i="4"/>
  <c r="BA15" i="4"/>
  <c r="BC16" i="4"/>
  <c r="BA14" i="4"/>
  <c r="BA13" i="4"/>
  <c r="BA12" i="4"/>
  <c r="BC29" i="4"/>
  <c r="BC15" i="4"/>
  <c r="BA21" i="4"/>
  <c r="BA19" i="4"/>
  <c r="BA17" i="4"/>
  <c r="BA18" i="4"/>
  <c r="BA22" i="4"/>
  <c r="BA20" i="4"/>
  <c r="BC20" i="4"/>
  <c r="BC21" i="4"/>
  <c r="BC19" i="4"/>
  <c r="BC18" i="4"/>
  <c r="BC22" i="4"/>
  <c r="BC17" i="4"/>
  <c r="BC14" i="4"/>
  <c r="BC26" i="4"/>
  <c r="BC32" i="4"/>
  <c r="BC24" i="4"/>
  <c r="BC25" i="4"/>
  <c r="BC27" i="4"/>
  <c r="BC23" i="4"/>
  <c r="BC28" i="4"/>
  <c r="BC33" i="4"/>
  <c r="BC31" i="4"/>
  <c r="BC30" i="4"/>
  <c r="BB24" i="4" l="1"/>
  <c r="BB14" i="4"/>
  <c r="BB23" i="4"/>
  <c r="BB13" i="4"/>
  <c r="AZ33" i="4"/>
  <c r="AZ29" i="4"/>
  <c r="AZ25" i="4"/>
  <c r="AZ36" i="4" l="1"/>
  <c r="AU35" i="4"/>
  <c r="AZ35" i="4" s="1"/>
  <c r="AU34" i="4"/>
  <c r="AZ34" i="4" s="1"/>
  <c r="BD13" i="4" l="1"/>
  <c r="BD16" i="4"/>
  <c r="BD12" i="4"/>
  <c r="BD17" i="4"/>
  <c r="BD15" i="4"/>
  <c r="BD14" i="4"/>
  <c r="AZ26" i="4"/>
  <c r="AZ27" i="4"/>
  <c r="AZ28" i="4"/>
  <c r="AZ30" i="4"/>
  <c r="AZ32" i="4"/>
  <c r="AZ31" i="4"/>
  <c r="BD30" i="4"/>
  <c r="AZ22" i="4" l="1"/>
  <c r="AZ18" i="4"/>
  <c r="AU17" i="4"/>
  <c r="AZ17" i="4"/>
  <c r="AU19" i="4"/>
  <c r="AZ19" i="4" s="1"/>
  <c r="AU14" i="4"/>
  <c r="AZ14" i="4"/>
  <c r="AU21" i="4"/>
  <c r="AZ21" i="4" s="1"/>
  <c r="AZ23" i="4"/>
  <c r="AU13" i="4"/>
  <c r="AZ13" i="4" s="1"/>
  <c r="AU16" i="4"/>
  <c r="AZ16" i="4"/>
  <c r="AU20" i="4"/>
  <c r="AZ20" i="4" s="1"/>
  <c r="AU12" i="4"/>
  <c r="AZ12" i="4"/>
  <c r="AU18" i="4"/>
  <c r="AZ24" i="4" s="1"/>
  <c r="AU15" i="4"/>
  <c r="AZ15" i="4"/>
</calcChain>
</file>

<file path=xl/sharedStrings.xml><?xml version="1.0" encoding="utf-8"?>
<sst xmlns="http://schemas.openxmlformats.org/spreadsheetml/2006/main" count="506" uniqueCount="155">
  <si>
    <t>Vial 29.gcd</t>
  </si>
  <si>
    <t>-----</t>
  </si>
  <si>
    <t>Vial 30.gcd</t>
  </si>
  <si>
    <t>Vial 31.gcd</t>
  </si>
  <si>
    <t>Vial 32.gcd</t>
  </si>
  <si>
    <t>Vial 33.gcd</t>
  </si>
  <si>
    <t>Vial 34.gcd</t>
  </si>
  <si>
    <t>Vial 35.gcd</t>
  </si>
  <si>
    <t>Vial 36.gcd</t>
  </si>
  <si>
    <t>Vial 37.gcd</t>
  </si>
  <si>
    <t>Vial 38.gcd</t>
  </si>
  <si>
    <t>Vial 39.gcd</t>
  </si>
  <si>
    <t>Vial 40.gcd</t>
  </si>
  <si>
    <t>Vial 41.gcd</t>
  </si>
  <si>
    <t>Vial 42.gcd</t>
  </si>
  <si>
    <t>Vial 43.gcd</t>
  </si>
  <si>
    <t>Vial 44.gcd</t>
  </si>
  <si>
    <t>Vial 45.gcd</t>
  </si>
  <si>
    <t>Vial 46.gcd</t>
  </si>
  <si>
    <t>Vial 47.gcd</t>
  </si>
  <si>
    <t>Vial 48.gcd</t>
  </si>
  <si>
    <t>Vial 49.gcd</t>
  </si>
  <si>
    <t>Vial 50.gcd</t>
  </si>
  <si>
    <t>Vial 51.gcd</t>
  </si>
  <si>
    <t>Vial 52.gcd</t>
  </si>
  <si>
    <t>Vial 53.gcd</t>
  </si>
  <si>
    <t>Vial 54.gcd</t>
  </si>
  <si>
    <t>Vial 55.gcd</t>
  </si>
  <si>
    <t>Vial 56.gcd</t>
  </si>
  <si>
    <t>Vial 57.gcd</t>
  </si>
  <si>
    <t>Vial 58.gcd</t>
  </si>
  <si>
    <t>Vial 59.gcd</t>
  </si>
  <si>
    <t>Vial 60.gcd</t>
  </si>
  <si>
    <t>Data Filename</t>
  </si>
  <si>
    <t>Area</t>
  </si>
  <si>
    <t>Ethane</t>
  </si>
  <si>
    <t>SF6</t>
  </si>
  <si>
    <t>N2O</t>
  </si>
  <si>
    <t>Helium</t>
  </si>
  <si>
    <t>Description</t>
  </si>
  <si>
    <t>Tracer Sol 1</t>
  </si>
  <si>
    <t>Tracer Sol 2</t>
  </si>
  <si>
    <t>Tracer Sol 3</t>
  </si>
  <si>
    <t>Tracer Sol 4</t>
  </si>
  <si>
    <t>Tracer Sol 5</t>
  </si>
  <si>
    <t>Tracer Sol 6</t>
  </si>
  <si>
    <t>Tracer Sol 7</t>
  </si>
  <si>
    <t>Tracer Sol 8</t>
  </si>
  <si>
    <t>Port 2D</t>
  </si>
  <si>
    <t>Port 1C</t>
  </si>
  <si>
    <t>Port 3B</t>
  </si>
  <si>
    <t>Eff 3 T1</t>
  </si>
  <si>
    <t>Eff 3 T2</t>
  </si>
  <si>
    <t>Eff 3 T3</t>
  </si>
  <si>
    <t>Eff 3 T4</t>
  </si>
  <si>
    <t>Eff 3 T5</t>
  </si>
  <si>
    <t>Eff 3 T6</t>
  </si>
  <si>
    <t>Eff 3 T7</t>
  </si>
  <si>
    <t>Port 2C</t>
  </si>
  <si>
    <t>Eff 3 T8</t>
  </si>
  <si>
    <t>Eff 3 T9</t>
  </si>
  <si>
    <t>Eff 3 T10</t>
  </si>
  <si>
    <t>Eff 3 T11</t>
  </si>
  <si>
    <t>Eff 3 T12</t>
  </si>
  <si>
    <t>Eff 3 T13</t>
  </si>
  <si>
    <t>Eff 3 T14</t>
  </si>
  <si>
    <t>Eff 3 T15</t>
  </si>
  <si>
    <t>Eff 3 T16</t>
  </si>
  <si>
    <t>Eff 3 T17</t>
  </si>
  <si>
    <t>Time</t>
  </si>
  <si>
    <t>Timepoint</t>
  </si>
  <si>
    <t>Timepoint (min)</t>
  </si>
  <si>
    <t>Peak Areas</t>
  </si>
  <si>
    <t>Empty Vial (g)</t>
  </si>
  <si>
    <t>Vial &amp; Sample (g)</t>
  </si>
  <si>
    <t>Vial &amp; Displaced Sample (g)</t>
  </si>
  <si>
    <t>Headspace Volume (mL)</t>
  </si>
  <si>
    <t>Aqueous Volume (mL)</t>
  </si>
  <si>
    <t>Nitrous Oxide</t>
  </si>
  <si>
    <t>Sulfur Hexafluoride</t>
  </si>
  <si>
    <t>Headspace Gas Concentration (mg/L) [Assuming headspace is N2]</t>
  </si>
  <si>
    <t>Partitioned Aqueous Concentrations (mg/L) [Henry's Law Gas Conversion Sheet]</t>
  </si>
  <si>
    <t>Total Mass in Vial (mg)</t>
  </si>
  <si>
    <t>Initial Concentration Prior to Equilibrium (mg/L)</t>
  </si>
  <si>
    <t>Zeroed Concentrations (mg/L)</t>
  </si>
  <si>
    <t>Corrected Tracer Solution (mg/L)</t>
  </si>
  <si>
    <t>Normalized Concentrations</t>
  </si>
  <si>
    <t>Bromide</t>
  </si>
  <si>
    <t>Normalized C/C0</t>
  </si>
  <si>
    <t>Vial 1.gcd</t>
  </si>
  <si>
    <t>Vial 2.gcd</t>
  </si>
  <si>
    <t>Vial 3.gcd</t>
  </si>
  <si>
    <t>Vial 4.gcd</t>
  </si>
  <si>
    <t>Vial 5.gcd</t>
  </si>
  <si>
    <t>Vial 6.gcd</t>
  </si>
  <si>
    <t>Vial 7.gcd</t>
  </si>
  <si>
    <t>Vial 8.gcd</t>
  </si>
  <si>
    <t>Vial 9.gcd</t>
  </si>
  <si>
    <t>Vial 10.gcd</t>
  </si>
  <si>
    <t>Vial 11.gcd</t>
  </si>
  <si>
    <t>Vial 12.gcd</t>
  </si>
  <si>
    <t>Vial 13.gcd</t>
  </si>
  <si>
    <t>Vial 14.gcd</t>
  </si>
  <si>
    <t>Vial 15.gcd</t>
  </si>
  <si>
    <t>Vial 16.gcd</t>
  </si>
  <si>
    <t>Vial 17.gcd</t>
  </si>
  <si>
    <t>Vial 18.gcd</t>
  </si>
  <si>
    <t>Vial 19.gcd</t>
  </si>
  <si>
    <t>Vial 20.gcd</t>
  </si>
  <si>
    <t>Vial 21.gcd</t>
  </si>
  <si>
    <t>Vial 22.gcd</t>
  </si>
  <si>
    <t>Vial 23.gcd</t>
  </si>
  <si>
    <t>Vial 24.gcd</t>
  </si>
  <si>
    <t>Vial 25.gcd</t>
  </si>
  <si>
    <t>Vial 26.gcd</t>
  </si>
  <si>
    <t>Vial 27.gcd</t>
  </si>
  <si>
    <t>Vial 28.gcd</t>
  </si>
  <si>
    <t>Eff 3</t>
  </si>
  <si>
    <t>Methane</t>
  </si>
  <si>
    <t>Concentration [ppmv] (From Sanam Cal Curves) and Dec 19, 2017</t>
  </si>
  <si>
    <t>Port 3C</t>
  </si>
  <si>
    <t>T Test B1</t>
  </si>
  <si>
    <t>T Test B2</t>
  </si>
  <si>
    <t>T Test B3</t>
  </si>
  <si>
    <t>T Test B4</t>
  </si>
  <si>
    <t>T Test B5</t>
  </si>
  <si>
    <t>T Test B6</t>
  </si>
  <si>
    <t>T Test B7</t>
  </si>
  <si>
    <t>T Test B8</t>
  </si>
  <si>
    <t>T Test B9</t>
  </si>
  <si>
    <t>T Test B10</t>
  </si>
  <si>
    <t>T Test B11</t>
  </si>
  <si>
    <t>T Test B12</t>
  </si>
  <si>
    <t>Port 1B</t>
  </si>
  <si>
    <t>Eff 3 Vial 7</t>
  </si>
  <si>
    <t>Eff 3 Vial 8</t>
  </si>
  <si>
    <t>Eff 3 Vial 9</t>
  </si>
  <si>
    <t>Eff 3 Vial 10</t>
  </si>
  <si>
    <t>Eff 3 Vial 11</t>
  </si>
  <si>
    <t>Eff 3 Vial 12</t>
  </si>
  <si>
    <t>Eff 3 Vial 13</t>
  </si>
  <si>
    <t>Eff 3 Vial 14</t>
  </si>
  <si>
    <t>Eff 3 Vial 15</t>
  </si>
  <si>
    <t>Eff 3 Vial 16</t>
  </si>
  <si>
    <t>Eff 3 Vial 18</t>
  </si>
  <si>
    <t>Eff 3 Vial 19</t>
  </si>
  <si>
    <t>Eff 3 Vial 20</t>
  </si>
  <si>
    <t>Eff 3 Vial 21</t>
  </si>
  <si>
    <t>Eff 3 Vial 23</t>
  </si>
  <si>
    <t>Eff 3 Vial 24</t>
  </si>
  <si>
    <t>Eff 3 Vial 26</t>
  </si>
  <si>
    <t>Eff 3 Vial 27</t>
  </si>
  <si>
    <t>Eff 3 Vial 29</t>
  </si>
  <si>
    <t>Eff 3 Vial 30</t>
  </si>
  <si>
    <t>Check2 6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</si>
</sst>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center"/>
    </xf>
    <xf numFmtId="3" fontId="0" fillId="3" borderId="0" xfId="0" applyNumberForma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Ethane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Samples'!$D$12:$D$21,'Aqueous Samples'!$D$23:$D$26,'Aqueous Samples'!$D$28:$D$29,'Aqueous Samples'!$D$31:$D$32,'Aqueous Samples'!$D$34:$D$35)</c:f>
              <c:numCache>
                <c:formatCode>0</c:formatCode>
                <c:ptCount val="20"/>
                <c:pt idx="0">
                  <c:v>1.9999999999999929</c:v>
                </c:pt>
                <c:pt idx="1">
                  <c:v>21.000000000000085</c:v>
                </c:pt>
                <c:pt idx="2">
                  <c:v>41.000000000000014</c:v>
                </c:pt>
                <c:pt idx="3">
                  <c:v>61.000000000000021</c:v>
                </c:pt>
                <c:pt idx="4">
                  <c:v>80.000000000000028</c:v>
                </c:pt>
                <c:pt idx="5">
                  <c:v>100.00000000000004</c:v>
                </c:pt>
                <c:pt idx="6">
                  <c:v>121.00000000000006</c:v>
                </c:pt>
                <c:pt idx="7">
                  <c:v>139.99999999999997</c:v>
                </c:pt>
                <c:pt idx="8">
                  <c:v>160.00000000000006</c:v>
                </c:pt>
                <c:pt idx="9">
                  <c:v>181</c:v>
                </c:pt>
                <c:pt idx="10">
                  <c:v>200.00000000000009</c:v>
                </c:pt>
                <c:pt idx="11">
                  <c:v>231.00000000000014</c:v>
                </c:pt>
                <c:pt idx="12">
                  <c:v>261.00000000000006</c:v>
                </c:pt>
                <c:pt idx="13">
                  <c:v>290.00000000000011</c:v>
                </c:pt>
                <c:pt idx="14">
                  <c:v>335.00000000000011</c:v>
                </c:pt>
                <c:pt idx="15">
                  <c:v>396.00000000000006</c:v>
                </c:pt>
                <c:pt idx="16">
                  <c:v>470.00000000000011</c:v>
                </c:pt>
                <c:pt idx="17">
                  <c:v>546</c:v>
                </c:pt>
                <c:pt idx="18">
                  <c:v>635</c:v>
                </c:pt>
                <c:pt idx="19">
                  <c:v>725</c:v>
                </c:pt>
              </c:numCache>
            </c:numRef>
          </c:xVal>
          <c:yVal>
            <c:numRef>
              <c:f>('Aqueous Samples'!$AZ$12:$AZ$21,'Aqueous Samples'!$AZ$23:$AZ$26,'Aqueous Samples'!$AZ$28:$AZ$29,'Aqueous Samples'!$AZ$31:$AZ$32,'Aqueous Samples'!$AZ$34:$AZ$35)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0.21086575290793355</c:v>
                </c:pt>
                <c:pt idx="5">
                  <c:v>0.25774964910341686</c:v>
                </c:pt>
                <c:pt idx="6">
                  <c:v>0.29150319936147628</c:v>
                </c:pt>
                <c:pt idx="7">
                  <c:v>0.28546849421800741</c:v>
                </c:pt>
                <c:pt idx="8">
                  <c:v>0.34113307490662059</c:v>
                </c:pt>
                <c:pt idx="9">
                  <c:v>0.35537300457745052</c:v>
                </c:pt>
                <c:pt idx="10">
                  <c:v>0.40824307494782741</c:v>
                </c:pt>
                <c:pt idx="11">
                  <c:v>0.44590727491658849</c:v>
                </c:pt>
                <c:pt idx="12">
                  <c:v>0.4709218530640622</c:v>
                </c:pt>
                <c:pt idx="13">
                  <c:v>0.52080919051792784</c:v>
                </c:pt>
                <c:pt idx="14">
                  <c:v>0.62304039135197975</c:v>
                </c:pt>
                <c:pt idx="15">
                  <c:v>0.65943286405120349</c:v>
                </c:pt>
                <c:pt idx="16">
                  <c:v>0.6961676428459026</c:v>
                </c:pt>
                <c:pt idx="17">
                  <c:v>0.69586741174255529</c:v>
                </c:pt>
                <c:pt idx="18">
                  <c:v>0.74691997220637707</c:v>
                </c:pt>
                <c:pt idx="19">
                  <c:v>0.86648366233694518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64E-4359-97F5-19E8C32220A9}"/>
            </c:ext>
          </c:extLst>
        </c:ser>
        <c:ser>
          <c:idx val="1"/>
          <c:order val="1"/>
          <c:tx>
            <c:v>Helium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('Aqueous Samples'!$D$12:$D$21,'Aqueous Samples'!$D$23:$D$26,'Aqueous Samples'!$D$28:$D$29,'Aqueous Samples'!$D$31:$D$32,'Aqueous Samples'!$D$34:$D$35)</c:f>
              <c:numCache>
                <c:formatCode>0</c:formatCode>
                <c:ptCount val="20"/>
                <c:pt idx="0">
                  <c:v>1.9999999999999929</c:v>
                </c:pt>
                <c:pt idx="1">
                  <c:v>21.000000000000085</c:v>
                </c:pt>
                <c:pt idx="2">
                  <c:v>41.000000000000014</c:v>
                </c:pt>
                <c:pt idx="3">
                  <c:v>61.000000000000021</c:v>
                </c:pt>
                <c:pt idx="4">
                  <c:v>80.000000000000028</c:v>
                </c:pt>
                <c:pt idx="5">
                  <c:v>100.00000000000004</c:v>
                </c:pt>
                <c:pt idx="6">
                  <c:v>121.00000000000006</c:v>
                </c:pt>
                <c:pt idx="7">
                  <c:v>139.99999999999997</c:v>
                </c:pt>
                <c:pt idx="8">
                  <c:v>160.00000000000006</c:v>
                </c:pt>
                <c:pt idx="9">
                  <c:v>181</c:v>
                </c:pt>
                <c:pt idx="10">
                  <c:v>200.00000000000009</c:v>
                </c:pt>
                <c:pt idx="11">
                  <c:v>231.00000000000014</c:v>
                </c:pt>
                <c:pt idx="12">
                  <c:v>261.00000000000006</c:v>
                </c:pt>
                <c:pt idx="13">
                  <c:v>290.00000000000011</c:v>
                </c:pt>
                <c:pt idx="14">
                  <c:v>335.00000000000011</c:v>
                </c:pt>
                <c:pt idx="15">
                  <c:v>396.00000000000006</c:v>
                </c:pt>
                <c:pt idx="16">
                  <c:v>470.00000000000011</c:v>
                </c:pt>
                <c:pt idx="17">
                  <c:v>546</c:v>
                </c:pt>
                <c:pt idx="18">
                  <c:v>635</c:v>
                </c:pt>
                <c:pt idx="19">
                  <c:v>725</c:v>
                </c:pt>
              </c:numCache>
            </c:numRef>
          </c:xVal>
          <c:yVal>
            <c:numRef>
              <c:f>('Aqueous Samples'!$BA$12:$BA$21,'Aqueous Samples'!$BA$23:$BA$26,'Aqueous Samples'!$BA$28:$BA$29,'Aqueous Samples'!$BA$31:$BA$32,'Aqueous Samples'!$BA$34:$BA$35)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2.1546338462313649E-3</c:v>
                </c:pt>
                <c:pt idx="7">
                  <c:v>0</c:v>
                </c:pt>
                <c:pt idx="8">
                  <c:v>3.3521817858551258E-3</c:v>
                </c:pt>
                <c:pt idx="9">
                  <c:v>4.3566980391531278E-3</c:v>
                </c:pt>
                <c:pt idx="10">
                  <c:v>4.5828691012030189E-3</c:v>
                </c:pt>
                <c:pt idx="11">
                  <c:v>1.1515896906605988E-2</c:v>
                </c:pt>
                <c:pt idx="12">
                  <c:v>1.9591581565256116E-2</c:v>
                </c:pt>
                <c:pt idx="13">
                  <c:v>2.7264029581057427E-2</c:v>
                </c:pt>
                <c:pt idx="14">
                  <c:v>3.2969124628262479E-2</c:v>
                </c:pt>
                <c:pt idx="15">
                  <c:v>6.1550603738927505E-2</c:v>
                </c:pt>
                <c:pt idx="16">
                  <c:v>7.4362299938041165E-2</c:v>
                </c:pt>
                <c:pt idx="17">
                  <c:v>0.11752520437670999</c:v>
                </c:pt>
                <c:pt idx="18">
                  <c:v>0.17161664005461402</c:v>
                </c:pt>
                <c:pt idx="19">
                  <c:v>0.34011105266540365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64E-4359-97F5-19E8C32220A9}"/>
            </c:ext>
          </c:extLst>
        </c:ser>
        <c:ser>
          <c:idx val="3"/>
          <c:order val="2"/>
          <c:tx>
            <c:v>Sulfur Hexafluoride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('Aqueous Samples'!$D$12:$D$21,'Aqueous Samples'!$D$23:$D$26,'Aqueous Samples'!$D$28:$D$29,'Aqueous Samples'!$D$31:$D$32,'Aqueous Samples'!$D$34:$D$35)</c:f>
              <c:numCache>
                <c:formatCode>0</c:formatCode>
                <c:ptCount val="20"/>
                <c:pt idx="0">
                  <c:v>1.9999999999999929</c:v>
                </c:pt>
                <c:pt idx="1">
                  <c:v>21.000000000000085</c:v>
                </c:pt>
                <c:pt idx="2">
                  <c:v>41.000000000000014</c:v>
                </c:pt>
                <c:pt idx="3">
                  <c:v>61.000000000000021</c:v>
                </c:pt>
                <c:pt idx="4">
                  <c:v>80.000000000000028</c:v>
                </c:pt>
                <c:pt idx="5">
                  <c:v>100.00000000000004</c:v>
                </c:pt>
                <c:pt idx="6">
                  <c:v>121.00000000000006</c:v>
                </c:pt>
                <c:pt idx="7">
                  <c:v>139.99999999999997</c:v>
                </c:pt>
                <c:pt idx="8">
                  <c:v>160.00000000000006</c:v>
                </c:pt>
                <c:pt idx="9">
                  <c:v>181</c:v>
                </c:pt>
                <c:pt idx="10">
                  <c:v>200.00000000000009</c:v>
                </c:pt>
                <c:pt idx="11">
                  <c:v>231.00000000000014</c:v>
                </c:pt>
                <c:pt idx="12">
                  <c:v>261.00000000000006</c:v>
                </c:pt>
                <c:pt idx="13">
                  <c:v>290.00000000000011</c:v>
                </c:pt>
                <c:pt idx="14">
                  <c:v>335.00000000000011</c:v>
                </c:pt>
                <c:pt idx="15">
                  <c:v>396.00000000000006</c:v>
                </c:pt>
                <c:pt idx="16">
                  <c:v>470.00000000000011</c:v>
                </c:pt>
                <c:pt idx="17">
                  <c:v>546</c:v>
                </c:pt>
                <c:pt idx="18">
                  <c:v>635</c:v>
                </c:pt>
                <c:pt idx="19">
                  <c:v>725</c:v>
                </c:pt>
              </c:numCache>
            </c:numRef>
          </c:xVal>
          <c:yVal>
            <c:numRef>
              <c:f>('Aqueous Samples'!$BC$12:$BC$21,'Aqueous Samples'!$BC$23:$BC$26,'Aqueous Samples'!$BC$28:$BC$29,'Aqueous Samples'!$BC$31:$BC$32,'Aqueous Samples'!$BC$34:$BC$35)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0.15092653720497784</c:v>
                </c:pt>
                <c:pt idx="5">
                  <c:v>0.19139876471332773</c:v>
                </c:pt>
                <c:pt idx="6">
                  <c:v>0.23611285455758177</c:v>
                </c:pt>
                <c:pt idx="7">
                  <c:v>0.21503276795592829</c:v>
                </c:pt>
                <c:pt idx="8">
                  <c:v>0.2695509968377508</c:v>
                </c:pt>
                <c:pt idx="9">
                  <c:v>0.27950503925211273</c:v>
                </c:pt>
                <c:pt idx="10">
                  <c:v>0.33378141873586098</c:v>
                </c:pt>
                <c:pt idx="11">
                  <c:v>0.36572915471096379</c:v>
                </c:pt>
                <c:pt idx="12">
                  <c:v>0.40081230841094384</c:v>
                </c:pt>
                <c:pt idx="13">
                  <c:v>0.46607932210082426</c:v>
                </c:pt>
                <c:pt idx="14">
                  <c:v>0.56160941535281095</c:v>
                </c:pt>
                <c:pt idx="15">
                  <c:v>0.6213802270860701</c:v>
                </c:pt>
                <c:pt idx="16">
                  <c:v>0.63240124020640642</c:v>
                </c:pt>
                <c:pt idx="17">
                  <c:v>0.65718754336817919</c:v>
                </c:pt>
                <c:pt idx="18">
                  <c:v>0.70074394493664716</c:v>
                </c:pt>
                <c:pt idx="19">
                  <c:v>0.78274797663572959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64E-4359-97F5-19E8C32220A9}"/>
            </c:ext>
          </c:extLst>
        </c:ser>
        <c:ser>
          <c:idx val="2"/>
          <c:order val="3"/>
          <c:tx>
            <c:v>Bromide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('Aqueous Samples'!$BG$6:$BG$24,'Aqueous Samples'!$BG$26:$BG$32,'Aqueous Samples'!$BG$34:$BG$35,'Aqueous Samples'!$BG$37:$BG$38,'Aqueous Samples'!$BG$40:$BG$41)</c:f>
              <c:numCache>
                <c:formatCode>0</c:formatCode>
                <c:ptCount val="32"/>
                <c:pt idx="0">
                  <c:v>1.9999999999999929</c:v>
                </c:pt>
                <c:pt idx="1">
                  <c:v>10</c:v>
                </c:pt>
                <c:pt idx="2">
                  <c:v>21.000000000000085</c:v>
                </c:pt>
                <c:pt idx="3">
                  <c:v>30</c:v>
                </c:pt>
                <c:pt idx="4">
                  <c:v>41.000000000000014</c:v>
                </c:pt>
                <c:pt idx="5">
                  <c:v>50</c:v>
                </c:pt>
                <c:pt idx="6">
                  <c:v>61.000000000000021</c:v>
                </c:pt>
                <c:pt idx="7">
                  <c:v>70</c:v>
                </c:pt>
                <c:pt idx="8">
                  <c:v>80.000000000000028</c:v>
                </c:pt>
                <c:pt idx="9">
                  <c:v>91</c:v>
                </c:pt>
                <c:pt idx="10">
                  <c:v>100.00000000000004</c:v>
                </c:pt>
                <c:pt idx="11">
                  <c:v>110</c:v>
                </c:pt>
                <c:pt idx="12">
                  <c:v>121.00000000000006</c:v>
                </c:pt>
                <c:pt idx="13">
                  <c:v>131</c:v>
                </c:pt>
                <c:pt idx="14">
                  <c:v>139.99999999999997</c:v>
                </c:pt>
                <c:pt idx="15">
                  <c:v>150</c:v>
                </c:pt>
                <c:pt idx="16">
                  <c:v>160.00000000000006</c:v>
                </c:pt>
                <c:pt idx="17">
                  <c:v>170</c:v>
                </c:pt>
                <c:pt idx="18">
                  <c:v>181</c:v>
                </c:pt>
                <c:pt idx="19">
                  <c:v>191</c:v>
                </c:pt>
                <c:pt idx="20">
                  <c:v>200.00000000000009</c:v>
                </c:pt>
                <c:pt idx="21">
                  <c:v>212</c:v>
                </c:pt>
                <c:pt idx="22">
                  <c:v>231.00000000000014</c:v>
                </c:pt>
                <c:pt idx="23">
                  <c:v>245</c:v>
                </c:pt>
                <c:pt idx="24">
                  <c:v>261.00000000000006</c:v>
                </c:pt>
                <c:pt idx="25">
                  <c:v>290.00000000000011</c:v>
                </c:pt>
                <c:pt idx="26">
                  <c:v>335.00000000000011</c:v>
                </c:pt>
                <c:pt idx="27">
                  <c:v>396.00000000000006</c:v>
                </c:pt>
                <c:pt idx="28">
                  <c:v>470.00000000000011</c:v>
                </c:pt>
                <c:pt idx="29">
                  <c:v>546</c:v>
                </c:pt>
                <c:pt idx="30">
                  <c:v>635</c:v>
                </c:pt>
                <c:pt idx="31">
                  <c:v>725</c:v>
                </c:pt>
              </c:numCache>
            </c:numRef>
          </c:xVal>
          <c:yVal>
            <c:numRef>
              <c:f>('Aqueous Samples'!$BH$6:$BH$24,'Aqueous Samples'!$BH$26:$BH$32,'Aqueous Samples'!$BH$34:$BH$35,'Aqueous Samples'!$BH$37:$BH$38,'Aqueous Samples'!$BH$40:$BH$41)</c:f>
              <c:numCache>
                <c:formatCode>General</c:formatCode>
                <c:ptCount val="32"/>
                <c:pt idx="0">
                  <c:v>6.448683158157725E-3</c:v>
                </c:pt>
                <c:pt idx="1">
                  <c:v>0</c:v>
                </c:pt>
                <c:pt idx="2">
                  <c:v>5.807586002083566E-3</c:v>
                </c:pt>
                <c:pt idx="3">
                  <c:v>6.9012223271512499E-3</c:v>
                </c:pt>
                <c:pt idx="4">
                  <c:v>8.7616611330135191E-3</c:v>
                </c:pt>
                <c:pt idx="5">
                  <c:v>1.7146206291865768E-2</c:v>
                </c:pt>
                <c:pt idx="6">
                  <c:v>3.9634888884349538E-2</c:v>
                </c:pt>
                <c:pt idx="7">
                  <c:v>8.2073006509964505E-2</c:v>
                </c:pt>
                <c:pt idx="8">
                  <c:v>0.14348005763589139</c:v>
                </c:pt>
                <c:pt idx="9">
                  <c:v>0.25266770268805122</c:v>
                </c:pt>
                <c:pt idx="10">
                  <c:v>0.30018431543237134</c:v>
                </c:pt>
                <c:pt idx="11">
                  <c:v>0.42353895058052293</c:v>
                </c:pt>
                <c:pt idx="12">
                  <c:v>0.56018063855162326</c:v>
                </c:pt>
                <c:pt idx="13">
                  <c:v>0.61242377150543126</c:v>
                </c:pt>
                <c:pt idx="14">
                  <c:v>0.58872831779563151</c:v>
                </c:pt>
                <c:pt idx="15">
                  <c:v>0.73689718404359472</c:v>
                </c:pt>
                <c:pt idx="16">
                  <c:v>0.71424508452897428</c:v>
                </c:pt>
                <c:pt idx="17">
                  <c:v>0.83865564440477747</c:v>
                </c:pt>
                <c:pt idx="18">
                  <c:v>0.78060492544888593</c:v>
                </c:pt>
                <c:pt idx="19">
                  <c:v>0.90866093974158135</c:v>
                </c:pt>
                <c:pt idx="20">
                  <c:v>0.86881235180520711</c:v>
                </c:pt>
                <c:pt idx="21">
                  <c:v>0.94818269383368259</c:v>
                </c:pt>
                <c:pt idx="22">
                  <c:v>0.92383357243533637</c:v>
                </c:pt>
                <c:pt idx="23">
                  <c:v>1.0054917513737236</c:v>
                </c:pt>
                <c:pt idx="24">
                  <c:v>0.93260780410082189</c:v>
                </c:pt>
                <c:pt idx="25">
                  <c:v>0.95334918267969182</c:v>
                </c:pt>
                <c:pt idx="26">
                  <c:v>0.96001156488987427</c:v>
                </c:pt>
                <c:pt idx="27">
                  <c:v>0.98297792771629566</c:v>
                </c:pt>
                <c:pt idx="28">
                  <c:v>1.0077795882836351</c:v>
                </c:pt>
                <c:pt idx="29">
                  <c:v>1.0067613751533999</c:v>
                </c:pt>
                <c:pt idx="30">
                  <c:v>1.0052277701918106</c:v>
                </c:pt>
                <c:pt idx="31">
                  <c:v>0.99777344443588956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81A-4589-870E-228A5020F1A8}"/>
            </c:ext>
          </c:extLst>
        </c:ser>
        <c:ser>
          <c:idx val="4"/>
          <c:order val="4"/>
          <c:tx>
            <c:v>Nitrous Oxide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('Aqueous Samples'!$D$12:$D$21,'Aqueous Samples'!$D$23:$D$26,'Aqueous Samples'!$D$28:$D$29,'Aqueous Samples'!$D$31:$D$32,'Aqueous Samples'!$D$34:$D$35)</c:f>
              <c:numCache>
                <c:formatCode>0</c:formatCode>
                <c:ptCount val="20"/>
                <c:pt idx="0">
                  <c:v>1.9999999999999929</c:v>
                </c:pt>
                <c:pt idx="1">
                  <c:v>21.000000000000085</c:v>
                </c:pt>
                <c:pt idx="2">
                  <c:v>41.000000000000014</c:v>
                </c:pt>
                <c:pt idx="3">
                  <c:v>61.000000000000021</c:v>
                </c:pt>
                <c:pt idx="4">
                  <c:v>80.000000000000028</c:v>
                </c:pt>
                <c:pt idx="5">
                  <c:v>100.00000000000004</c:v>
                </c:pt>
                <c:pt idx="6">
                  <c:v>121.00000000000006</c:v>
                </c:pt>
                <c:pt idx="7">
                  <c:v>139.99999999999997</c:v>
                </c:pt>
                <c:pt idx="8">
                  <c:v>160.00000000000006</c:v>
                </c:pt>
                <c:pt idx="9">
                  <c:v>181</c:v>
                </c:pt>
                <c:pt idx="10">
                  <c:v>200.00000000000009</c:v>
                </c:pt>
                <c:pt idx="11">
                  <c:v>231.00000000000014</c:v>
                </c:pt>
                <c:pt idx="12">
                  <c:v>261.00000000000006</c:v>
                </c:pt>
                <c:pt idx="13">
                  <c:v>290.00000000000011</c:v>
                </c:pt>
                <c:pt idx="14">
                  <c:v>335.00000000000011</c:v>
                </c:pt>
                <c:pt idx="15">
                  <c:v>396.00000000000006</c:v>
                </c:pt>
                <c:pt idx="16">
                  <c:v>470.00000000000011</c:v>
                </c:pt>
                <c:pt idx="17">
                  <c:v>546</c:v>
                </c:pt>
                <c:pt idx="18">
                  <c:v>635</c:v>
                </c:pt>
                <c:pt idx="19">
                  <c:v>725</c:v>
                </c:pt>
              </c:numCache>
            </c:numRef>
          </c:xVal>
          <c:yVal>
            <c:numRef>
              <c:f>('Aqueous Samples'!$BB$12:$BB$21,'Aqueous Samples'!$BB$23:$BB$26,'Aqueous Samples'!$BB$28:$BB$29,'Aqueous Samples'!$BB$31:$BB$32,'Aqueous Samples'!$BB$34:$BB$35)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1.2815558012693148E-3</c:v>
                </c:pt>
                <c:pt idx="3">
                  <c:v>3.389372679156781E-2</c:v>
                </c:pt>
                <c:pt idx="4">
                  <c:v>0.11247650099385695</c:v>
                </c:pt>
                <c:pt idx="5">
                  <c:v>0.22170283632595686</c:v>
                </c:pt>
                <c:pt idx="6">
                  <c:v>0.36794961478563909</c:v>
                </c:pt>
                <c:pt idx="7">
                  <c:v>0.37653563128716916</c:v>
                </c:pt>
                <c:pt idx="8">
                  <c:v>0.47233206354285773</c:v>
                </c:pt>
                <c:pt idx="9">
                  <c:v>0.5383615842899937</c:v>
                </c:pt>
                <c:pt idx="10">
                  <c:v>0.62952331315181209</c:v>
                </c:pt>
                <c:pt idx="11">
                  <c:v>0.67852782787857813</c:v>
                </c:pt>
                <c:pt idx="12">
                  <c:v>0.74189486231626278</c:v>
                </c:pt>
                <c:pt idx="13">
                  <c:v>0.77915466614502304</c:v>
                </c:pt>
                <c:pt idx="14">
                  <c:v>0.79813169347733515</c:v>
                </c:pt>
                <c:pt idx="15">
                  <c:v>0.68670997179120197</c:v>
                </c:pt>
                <c:pt idx="16">
                  <c:v>0.45634316308457629</c:v>
                </c:pt>
                <c:pt idx="17">
                  <c:v>0.27513346685154333</c:v>
                </c:pt>
                <c:pt idx="18">
                  <c:v>0.19156674485934549</c:v>
                </c:pt>
                <c:pt idx="19">
                  <c:v>0.17743998760812651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4-479B-B4F9-01F86D5B2418}"/>
            </c:ext>
          </c:extLst>
        </c:ser>
        <c:ser>
          <c:idx val="5"/>
          <c:order val="5"/>
          <c:tx>
            <c:v>Methane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('Aqueous Samples'!$D$12:$D$21,'Aqueous Samples'!$D$23:$D$26,'Aqueous Samples'!$D$28:$D$29,'Aqueous Samples'!$D$31:$D$32,'Aqueous Samples'!$D$34:$D$35)</c:f>
              <c:numCache>
                <c:formatCode>0</c:formatCode>
                <c:ptCount val="20"/>
                <c:pt idx="0">
                  <c:v>1.9999999999999929</c:v>
                </c:pt>
                <c:pt idx="1">
                  <c:v>21.000000000000085</c:v>
                </c:pt>
                <c:pt idx="2">
                  <c:v>41.000000000000014</c:v>
                </c:pt>
                <c:pt idx="3">
                  <c:v>61.000000000000021</c:v>
                </c:pt>
                <c:pt idx="4">
                  <c:v>80.000000000000028</c:v>
                </c:pt>
                <c:pt idx="5">
                  <c:v>100.00000000000004</c:v>
                </c:pt>
                <c:pt idx="6">
                  <c:v>121.00000000000006</c:v>
                </c:pt>
                <c:pt idx="7">
                  <c:v>139.99999999999997</c:v>
                </c:pt>
                <c:pt idx="8">
                  <c:v>160.00000000000006</c:v>
                </c:pt>
                <c:pt idx="9">
                  <c:v>181</c:v>
                </c:pt>
                <c:pt idx="10">
                  <c:v>200.00000000000009</c:v>
                </c:pt>
                <c:pt idx="11">
                  <c:v>231.00000000000014</c:v>
                </c:pt>
                <c:pt idx="12">
                  <c:v>261.00000000000006</c:v>
                </c:pt>
                <c:pt idx="13">
                  <c:v>290.00000000000011</c:v>
                </c:pt>
                <c:pt idx="14">
                  <c:v>335.00000000000011</c:v>
                </c:pt>
                <c:pt idx="15">
                  <c:v>396.00000000000006</c:v>
                </c:pt>
                <c:pt idx="16">
                  <c:v>470.00000000000011</c:v>
                </c:pt>
                <c:pt idx="17">
                  <c:v>546</c:v>
                </c:pt>
                <c:pt idx="18">
                  <c:v>635</c:v>
                </c:pt>
                <c:pt idx="19">
                  <c:v>725</c:v>
                </c:pt>
              </c:numCache>
            </c:numRef>
          </c:xVal>
          <c:yVal>
            <c:numRef>
              <c:f>('Aqueous Samples'!$BD$12:$BD$21,'Aqueous Samples'!$BD$23:$BD$26,'Aqueous Samples'!$BD$28:$BD$29,'Aqueous Samples'!$BD$31:$BD$32,'Aqueous Samples'!$BD$34:$BD$35)</c:f>
              <c:numCache>
                <c:formatCode>General</c:formatCode>
                <c:ptCount val="20"/>
                <c:pt idx="0">
                  <c:v>0</c:v>
                </c:pt>
                <c:pt idx="1">
                  <c:v>1.8606760673932599E-3</c:v>
                </c:pt>
                <c:pt idx="2">
                  <c:v>1.0032648920187605E-3</c:v>
                </c:pt>
                <c:pt idx="3">
                  <c:v>1.428589014640131E-2</c:v>
                </c:pt>
                <c:pt idx="4">
                  <c:v>4.063932111153562E-2</c:v>
                </c:pt>
                <c:pt idx="5">
                  <c:v>8.4742359446038945E-2</c:v>
                </c:pt>
                <c:pt idx="6">
                  <c:v>0.14625374875734432</c:v>
                </c:pt>
                <c:pt idx="7">
                  <c:v>0.13714899181600337</c:v>
                </c:pt>
                <c:pt idx="8">
                  <c:v>0.17366420801424537</c:v>
                </c:pt>
                <c:pt idx="9">
                  <c:v>0.2124281267886021</c:v>
                </c:pt>
                <c:pt idx="10">
                  <c:v>0.25697124669577703</c:v>
                </c:pt>
                <c:pt idx="11">
                  <c:v>0.3017472345819866</c:v>
                </c:pt>
                <c:pt idx="12">
                  <c:v>0.34243035430416408</c:v>
                </c:pt>
                <c:pt idx="13">
                  <c:v>0.39102991541408294</c:v>
                </c:pt>
                <c:pt idx="14">
                  <c:v>0.46296994934862989</c:v>
                </c:pt>
                <c:pt idx="15">
                  <c:v>0.54040751577804591</c:v>
                </c:pt>
                <c:pt idx="16">
                  <c:v>0.5909582691370403</c:v>
                </c:pt>
                <c:pt idx="17">
                  <c:v>0.62445268095596695</c:v>
                </c:pt>
                <c:pt idx="18">
                  <c:v>0.71176651194066565</c:v>
                </c:pt>
                <c:pt idx="19">
                  <c:v>0.80990989637320054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4-479B-B4F9-01F86D5B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42504"/>
        <c:axId val="608744472"/>
        <c:extLst/>
      </c:scatterChart>
      <c:valAx>
        <c:axId val="60874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4472"/>
        <c:crosses val="autoZero"/>
        <c:crossBetween val="midCat"/>
      </c:valAx>
      <c:valAx>
        <c:axId val="6087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Samples'!$D$28:$D$29,'Aqueous Samples'!$D$31:$D$32,'Aqueous Samples'!$D$34:$D$35)</c:f>
              <c:numCache>
                <c:formatCode>0</c:formatCode>
                <c:ptCount val="20"/>
                <c:pt idx="0">
                  <c:v>1.9999999999999929</c:v>
                </c:pt>
                <c:pt idx="1">
                  <c:v>21.000000000000085</c:v>
                </c:pt>
                <c:pt idx="2">
                  <c:v>41.000000000000014</c:v>
                </c:pt>
                <c:pt idx="3">
                  <c:v>61.000000000000021</c:v>
                </c:pt>
                <c:pt idx="4">
                  <c:v>80.000000000000028</c:v>
                </c:pt>
                <c:pt idx="5">
                  <c:v>100.00000000000004</c:v>
                </c:pt>
                <c:pt idx="6">
                  <c:v>121.00000000000006</c:v>
                </c:pt>
                <c:pt idx="7">
                  <c:v>139.99999999999997</c:v>
                </c:pt>
                <c:pt idx="8">
                  <c:v>181</c:v>
                </c:pt>
                <c:pt idx="9">
                  <c:v>184.99999999999997</c:v>
                </c:pt>
                <c:pt idx="10">
                  <c:v>200.00000000000009</c:v>
                </c:pt>
                <c:pt idx="11">
                  <c:v>231.00000000000014</c:v>
                </c:pt>
                <c:pt idx="12">
                  <c:v>261.00000000000006</c:v>
                </c:pt>
                <c:pt idx="13">
                  <c:v>290.00000000000011</c:v>
                </c:pt>
                <c:pt idx="14">
                  <c:v>335.00000000000011</c:v>
                </c:pt>
                <c:pt idx="15">
                  <c:v>396.00000000000006</c:v>
                </c:pt>
                <c:pt idx="16">
                  <c:v>470.00000000000011</c:v>
                </c:pt>
                <c:pt idx="17">
                  <c:v>546</c:v>
                </c:pt>
                <c:pt idx="18">
                  <c:v>635</c:v>
                </c:pt>
                <c:pt idx="19">
                  <c:v>725</c:v>
                </c:pt>
              </c:numCache>
            </c:numRef>
          </c:xVal>
          <c:yVal>
            <c:numRef>
              <c:f>('Aqueous Samples'!$BB$12:$BB$19,'Aqueous Samples'!$BB$21:$BB$26,'Aqueous Samples'!$BB$28:$BB$29,'Aqueous Samples'!$BB$31:$BB$32,'Aqueous Samples'!$BB$34:$BB$35)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1.2815558012693148E-3</c:v>
                </c:pt>
                <c:pt idx="3">
                  <c:v>3.389372679156781E-2</c:v>
                </c:pt>
                <c:pt idx="4">
                  <c:v>0.11247650099385695</c:v>
                </c:pt>
                <c:pt idx="5">
                  <c:v>0.22170283632595686</c:v>
                </c:pt>
                <c:pt idx="6">
                  <c:v>0.36794961478563909</c:v>
                </c:pt>
                <c:pt idx="7">
                  <c:v>0.37653563128716916</c:v>
                </c:pt>
                <c:pt idx="8">
                  <c:v>0.5383615842899937</c:v>
                </c:pt>
                <c:pt idx="9">
                  <c:v>1</c:v>
                </c:pt>
                <c:pt idx="10">
                  <c:v>0.62952331315181209</c:v>
                </c:pt>
                <c:pt idx="11">
                  <c:v>0.67852782787857813</c:v>
                </c:pt>
                <c:pt idx="12">
                  <c:v>0.74189486231626278</c:v>
                </c:pt>
                <c:pt idx="13">
                  <c:v>0.77915466614502304</c:v>
                </c:pt>
                <c:pt idx="14">
                  <c:v>0.79813169347733515</c:v>
                </c:pt>
                <c:pt idx="15">
                  <c:v>0.68670997179120197</c:v>
                </c:pt>
                <c:pt idx="16">
                  <c:v>0.45634316308457629</c:v>
                </c:pt>
                <c:pt idx="17">
                  <c:v>0.27513346685154333</c:v>
                </c:pt>
                <c:pt idx="18">
                  <c:v>0.19156674485934549</c:v>
                </c:pt>
                <c:pt idx="19">
                  <c:v>0.17743998760812651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97-45E0-B172-6B97409D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26264"/>
        <c:axId val="788927904"/>
      </c:scatterChart>
      <c:valAx>
        <c:axId val="7889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7904"/>
        <c:crosses val="autoZero"/>
        <c:crossBetween val="midCat"/>
      </c:valAx>
      <c:valAx>
        <c:axId val="788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Samples'!$D$28:$D$29,'Aqueous Samples'!$D$31:$D$32,'Aqueous Samples'!$D$34:$D$35)</c:f>
              <c:numCache>
                <c:formatCode>0</c:formatCode>
                <c:ptCount val="20"/>
                <c:pt idx="0">
                  <c:v>1.9999999999999929</c:v>
                </c:pt>
                <c:pt idx="1">
                  <c:v>21.000000000000085</c:v>
                </c:pt>
                <c:pt idx="2">
                  <c:v>41.000000000000014</c:v>
                </c:pt>
                <c:pt idx="3">
                  <c:v>61.000000000000021</c:v>
                </c:pt>
                <c:pt idx="4">
                  <c:v>80.000000000000028</c:v>
                </c:pt>
                <c:pt idx="5">
                  <c:v>100.00000000000004</c:v>
                </c:pt>
                <c:pt idx="6">
                  <c:v>121.00000000000006</c:v>
                </c:pt>
                <c:pt idx="7">
                  <c:v>139.99999999999997</c:v>
                </c:pt>
                <c:pt idx="8">
                  <c:v>181</c:v>
                </c:pt>
                <c:pt idx="9">
                  <c:v>184.99999999999997</c:v>
                </c:pt>
                <c:pt idx="10">
                  <c:v>200.00000000000009</c:v>
                </c:pt>
                <c:pt idx="11">
                  <c:v>231.00000000000014</c:v>
                </c:pt>
                <c:pt idx="12">
                  <c:v>261.00000000000006</c:v>
                </c:pt>
                <c:pt idx="13">
                  <c:v>290.00000000000011</c:v>
                </c:pt>
                <c:pt idx="14">
                  <c:v>335.00000000000011</c:v>
                </c:pt>
                <c:pt idx="15">
                  <c:v>396.00000000000006</c:v>
                </c:pt>
                <c:pt idx="16">
                  <c:v>470.00000000000011</c:v>
                </c:pt>
                <c:pt idx="17">
                  <c:v>546</c:v>
                </c:pt>
                <c:pt idx="18">
                  <c:v>635</c:v>
                </c:pt>
                <c:pt idx="19">
                  <c:v>725</c:v>
                </c:pt>
              </c:numCache>
            </c:numRef>
          </c:xVal>
          <c:yVal>
            <c:numRef>
              <c:f>('Aqueous Samples'!$AY$12:$AY$19,'Aqueous Samples'!$AY$21:$AY$26,'Aqueous Samples'!$AY$28:$AY$29,'Aqueous Samples'!$AY$31:$AY$32,'Aqueous Samples'!$AY$34:$AY$35)</c:f>
              <c:numCache>
                <c:formatCode>General</c:formatCode>
                <c:ptCount val="20"/>
                <c:pt idx="0">
                  <c:v>0.25126656625781418</c:v>
                </c:pt>
                <c:pt idx="1">
                  <c:v>0.25348566629126545</c:v>
                </c:pt>
                <c:pt idx="2">
                  <c:v>0.25582156106331949</c:v>
                </c:pt>
                <c:pt idx="3">
                  <c:v>0.25815745583537347</c:v>
                </c:pt>
                <c:pt idx="4">
                  <c:v>0.26037655586882474</c:v>
                </c:pt>
                <c:pt idx="5">
                  <c:v>0.26271245064087878</c:v>
                </c:pt>
                <c:pt idx="6">
                  <c:v>0.26516514015153547</c:v>
                </c:pt>
                <c:pt idx="7">
                  <c:v>0.26738424018498674</c:v>
                </c:pt>
                <c:pt idx="8">
                  <c:v>0.27217282446769747</c:v>
                </c:pt>
                <c:pt idx="9">
                  <c:v>0.27264000342210826</c:v>
                </c:pt>
                <c:pt idx="10">
                  <c:v>0.26871510059838566</c:v>
                </c:pt>
                <c:pt idx="11">
                  <c:v>0.26060363476269244</c:v>
                </c:pt>
                <c:pt idx="12">
                  <c:v>0.25275382911524735</c:v>
                </c:pt>
                <c:pt idx="13">
                  <c:v>0.24516568365605043</c:v>
                </c:pt>
                <c:pt idx="14">
                  <c:v>0.24242461539836987</c:v>
                </c:pt>
                <c:pt idx="15">
                  <c:v>0.24546513884704915</c:v>
                </c:pt>
                <c:pt idx="16">
                  <c:v>0.24758838259995325</c:v>
                </c:pt>
                <c:pt idx="17">
                  <c:v>0.24344592456124892</c:v>
                </c:pt>
                <c:pt idx="18">
                  <c:v>0.23520873586696608</c:v>
                </c:pt>
                <c:pt idx="19">
                  <c:v>0.21979444491420241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D-4AFF-A4DA-CDF3CCE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53816"/>
        <c:axId val="792656440"/>
      </c:scatterChart>
      <c:valAx>
        <c:axId val="7926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6440"/>
        <c:crosses val="autoZero"/>
        <c:crossBetween val="midCat"/>
      </c:valAx>
      <c:valAx>
        <c:axId val="7926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404812</xdr:colOff>
      <xdr:row>4</xdr:row>
      <xdr:rowOff>95249</xdr:rowOff>
    </xdr:from>
    <xdr:to>
      <xdr:col>75</xdr:col>
      <xdr:colOff>114300</xdr:colOff>
      <xdr:row>30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18A91-262D-492B-8CBC-509B8DF6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114300</xdr:colOff>
      <xdr:row>32</xdr:row>
      <xdr:rowOff>147637</xdr:rowOff>
    </xdr:from>
    <xdr:to>
      <xdr:col>69</xdr:col>
      <xdr:colOff>419100</xdr:colOff>
      <xdr:row>47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6C956-C0A5-4A77-9153-E320BA39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171450</xdr:colOff>
      <xdr:row>32</xdr:row>
      <xdr:rowOff>128587</xdr:rowOff>
    </xdr:from>
    <xdr:to>
      <xdr:col>77</xdr:col>
      <xdr:colOff>476250</xdr:colOff>
      <xdr:row>47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F8246-A628-4162-ACAB-8A018D33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workbookViewId="0">
      <selection activeCell="G5" sqref="G5:G36"/>
    </sheetView>
  </sheetViews>
  <sheetFormatPr defaultRowHeight="15" x14ac:dyDescent="0.25"/>
  <cols>
    <col min="2" max="6" width="17" customWidth="1"/>
  </cols>
  <sheetData>
    <row r="2" spans="2:7" x14ac:dyDescent="0.25">
      <c r="B2" t="s">
        <v>35</v>
      </c>
      <c r="F2" s="2">
        <v>0.47916666666666669</v>
      </c>
    </row>
    <row r="4" spans="2:7" x14ac:dyDescent="0.25">
      <c r="B4" t="s">
        <v>33</v>
      </c>
      <c r="C4" t="s">
        <v>39</v>
      </c>
      <c r="D4" t="s">
        <v>71</v>
      </c>
      <c r="E4" t="s">
        <v>70</v>
      </c>
      <c r="F4" t="s">
        <v>69</v>
      </c>
      <c r="G4" t="s">
        <v>34</v>
      </c>
    </row>
    <row r="5" spans="2:7" x14ac:dyDescent="0.25">
      <c r="B5" t="s">
        <v>0</v>
      </c>
      <c r="C5" t="s">
        <v>40</v>
      </c>
      <c r="F5" s="2">
        <v>0.39166666666666666</v>
      </c>
      <c r="G5" s="1">
        <v>225064</v>
      </c>
    </row>
    <row r="6" spans="2:7" x14ac:dyDescent="0.25">
      <c r="B6" t="s">
        <v>2</v>
      </c>
      <c r="C6" t="s">
        <v>41</v>
      </c>
      <c r="F6" s="2">
        <v>0.39444444444444443</v>
      </c>
      <c r="G6" s="1">
        <v>260912</v>
      </c>
    </row>
    <row r="7" spans="2:7" x14ac:dyDescent="0.25">
      <c r="B7" t="s">
        <v>3</v>
      </c>
      <c r="C7" t="s">
        <v>42</v>
      </c>
      <c r="F7" s="2">
        <v>0.3979166666666667</v>
      </c>
      <c r="G7" s="1">
        <v>286666</v>
      </c>
    </row>
    <row r="8" spans="2:7" x14ac:dyDescent="0.25">
      <c r="B8" t="s">
        <v>4</v>
      </c>
      <c r="C8" t="s">
        <v>43</v>
      </c>
      <c r="F8" s="2">
        <v>0.39930555555555558</v>
      </c>
      <c r="G8" s="1">
        <v>272180</v>
      </c>
    </row>
    <row r="9" spans="2:7" x14ac:dyDescent="0.25">
      <c r="B9" t="s">
        <v>5</v>
      </c>
      <c r="C9" t="s">
        <v>44</v>
      </c>
      <c r="F9" s="2">
        <v>0.40138888888888885</v>
      </c>
      <c r="G9" s="1">
        <v>273945</v>
      </c>
    </row>
    <row r="10" spans="2:7" x14ac:dyDescent="0.25">
      <c r="B10" t="s">
        <v>6</v>
      </c>
      <c r="C10" t="s">
        <v>48</v>
      </c>
      <c r="F10" s="2">
        <v>0.4145833333333333</v>
      </c>
      <c r="G10" t="s">
        <v>1</v>
      </c>
    </row>
    <row r="11" spans="2:7" x14ac:dyDescent="0.25">
      <c r="B11" t="s">
        <v>7</v>
      </c>
      <c r="C11" t="s">
        <v>49</v>
      </c>
      <c r="F11" s="2">
        <v>0.41597222222222219</v>
      </c>
      <c r="G11" t="s">
        <v>1</v>
      </c>
    </row>
    <row r="12" spans="2:7" x14ac:dyDescent="0.25">
      <c r="B12" t="s">
        <v>8</v>
      </c>
      <c r="C12" t="s">
        <v>50</v>
      </c>
      <c r="F12" s="2">
        <v>0.41805555555555557</v>
      </c>
      <c r="G12" t="s">
        <v>1</v>
      </c>
    </row>
    <row r="13" spans="2:7" x14ac:dyDescent="0.25">
      <c r="B13" t="s">
        <v>9</v>
      </c>
      <c r="C13" t="s">
        <v>51</v>
      </c>
      <c r="F13" s="2">
        <v>0.43958333333333338</v>
      </c>
      <c r="G13" t="s">
        <v>1</v>
      </c>
    </row>
    <row r="14" spans="2:7" x14ac:dyDescent="0.25">
      <c r="B14" t="s">
        <v>10</v>
      </c>
      <c r="C14" t="s">
        <v>52</v>
      </c>
      <c r="F14" s="2">
        <v>0.44097222222222227</v>
      </c>
      <c r="G14" t="s">
        <v>1</v>
      </c>
    </row>
    <row r="15" spans="2:7" x14ac:dyDescent="0.25">
      <c r="B15" s="3" t="s">
        <v>11</v>
      </c>
      <c r="C15" t="s">
        <v>53</v>
      </c>
      <c r="F15" s="2">
        <v>0.46111111111111108</v>
      </c>
      <c r="G15" t="s">
        <v>1</v>
      </c>
    </row>
    <row r="16" spans="2:7" x14ac:dyDescent="0.25">
      <c r="B16" t="s">
        <v>12</v>
      </c>
      <c r="C16" t="s">
        <v>54</v>
      </c>
      <c r="D16">
        <f>24</f>
        <v>24</v>
      </c>
      <c r="E16" s="2">
        <f t="shared" ref="E16:E33" si="0">F16-$F$2</f>
        <v>1.6666666666666663E-2</v>
      </c>
      <c r="F16" s="2">
        <v>0.49583333333333335</v>
      </c>
      <c r="G16" t="s">
        <v>1</v>
      </c>
    </row>
    <row r="17" spans="2:7" x14ac:dyDescent="0.25">
      <c r="B17" t="s">
        <v>13</v>
      </c>
      <c r="C17" t="s">
        <v>55</v>
      </c>
      <c r="D17">
        <f>50</f>
        <v>50</v>
      </c>
      <c r="E17" s="2">
        <f t="shared" si="0"/>
        <v>3.4722222222222265E-2</v>
      </c>
      <c r="F17" s="2">
        <v>0.51388888888888895</v>
      </c>
      <c r="G17" t="s">
        <v>1</v>
      </c>
    </row>
    <row r="18" spans="2:7" x14ac:dyDescent="0.25">
      <c r="B18" t="s">
        <v>14</v>
      </c>
      <c r="C18" t="s">
        <v>56</v>
      </c>
      <c r="D18">
        <f>60*1+14</f>
        <v>74</v>
      </c>
      <c r="E18" s="2">
        <f t="shared" si="0"/>
        <v>5.1388888888888873E-2</v>
      </c>
      <c r="F18" s="2">
        <v>0.53055555555555556</v>
      </c>
      <c r="G18" t="s">
        <v>1</v>
      </c>
    </row>
    <row r="19" spans="2:7" x14ac:dyDescent="0.25">
      <c r="B19" t="s">
        <v>15</v>
      </c>
      <c r="C19" t="s">
        <v>57</v>
      </c>
      <c r="D19">
        <f>1*60+34</f>
        <v>94</v>
      </c>
      <c r="E19" s="2">
        <f t="shared" si="0"/>
        <v>6.5277777777777712E-2</v>
      </c>
      <c r="F19" s="2">
        <v>0.5444444444444444</v>
      </c>
      <c r="G19" t="s">
        <v>1</v>
      </c>
    </row>
    <row r="20" spans="2:7" x14ac:dyDescent="0.25">
      <c r="B20" t="s">
        <v>16</v>
      </c>
      <c r="C20" t="s">
        <v>58</v>
      </c>
      <c r="D20">
        <f>1*60+36</f>
        <v>96</v>
      </c>
      <c r="E20" s="2">
        <f t="shared" si="0"/>
        <v>6.6666666666666596E-2</v>
      </c>
      <c r="F20" s="2">
        <v>0.54583333333333328</v>
      </c>
      <c r="G20" t="s">
        <v>1</v>
      </c>
    </row>
    <row r="21" spans="2:7" x14ac:dyDescent="0.25">
      <c r="B21" t="s">
        <v>17</v>
      </c>
      <c r="C21" t="s">
        <v>59</v>
      </c>
      <c r="D21">
        <f>2*60+1</f>
        <v>121</v>
      </c>
      <c r="E21" s="2">
        <f t="shared" si="0"/>
        <v>8.4027777777777757E-2</v>
      </c>
      <c r="F21" s="2">
        <v>0.56319444444444444</v>
      </c>
      <c r="G21" t="s">
        <v>1</v>
      </c>
    </row>
    <row r="22" spans="2:7" x14ac:dyDescent="0.25">
      <c r="B22" t="s">
        <v>18</v>
      </c>
      <c r="C22" t="s">
        <v>58</v>
      </c>
      <c r="D22">
        <f>60*2+3</f>
        <v>123</v>
      </c>
      <c r="E22" s="2">
        <f t="shared" si="0"/>
        <v>8.5416666666666641E-2</v>
      </c>
      <c r="F22" s="2">
        <v>0.56458333333333333</v>
      </c>
      <c r="G22" t="s">
        <v>1</v>
      </c>
    </row>
    <row r="23" spans="2:7" x14ac:dyDescent="0.25">
      <c r="B23" t="s">
        <v>19</v>
      </c>
      <c r="C23" t="s">
        <v>60</v>
      </c>
      <c r="D23">
        <f>2*60+28</f>
        <v>148</v>
      </c>
      <c r="E23" s="2">
        <f t="shared" si="0"/>
        <v>0.1027777777777778</v>
      </c>
      <c r="F23" s="2">
        <v>0.58194444444444449</v>
      </c>
      <c r="G23" t="s">
        <v>1</v>
      </c>
    </row>
    <row r="24" spans="2:7" x14ac:dyDescent="0.25">
      <c r="B24" t="s">
        <v>20</v>
      </c>
      <c r="C24" t="s">
        <v>61</v>
      </c>
      <c r="D24">
        <f>2*60+51</f>
        <v>171</v>
      </c>
      <c r="E24" s="2">
        <f t="shared" si="0"/>
        <v>0.11874999999999997</v>
      </c>
      <c r="F24" s="2">
        <v>0.59791666666666665</v>
      </c>
      <c r="G24" t="s">
        <v>1</v>
      </c>
    </row>
    <row r="25" spans="2:7" x14ac:dyDescent="0.25">
      <c r="B25" t="s">
        <v>21</v>
      </c>
      <c r="C25" t="s">
        <v>48</v>
      </c>
      <c r="D25">
        <f>2*60+53</f>
        <v>173</v>
      </c>
      <c r="E25" s="2">
        <f t="shared" si="0"/>
        <v>0.12013888888888885</v>
      </c>
      <c r="F25" s="2">
        <v>0.59930555555555554</v>
      </c>
      <c r="G25" s="1">
        <v>26791</v>
      </c>
    </row>
    <row r="26" spans="2:7" x14ac:dyDescent="0.25">
      <c r="B26" t="s">
        <v>22</v>
      </c>
      <c r="C26" t="s">
        <v>62</v>
      </c>
      <c r="D26">
        <f>3*60+12</f>
        <v>192</v>
      </c>
      <c r="E26" s="2">
        <f t="shared" si="0"/>
        <v>0.13333333333333325</v>
      </c>
      <c r="F26" s="2">
        <v>0.61249999999999993</v>
      </c>
      <c r="G26" t="s">
        <v>1</v>
      </c>
    </row>
    <row r="27" spans="2:7" x14ac:dyDescent="0.25">
      <c r="B27" t="s">
        <v>23</v>
      </c>
      <c r="C27" t="s">
        <v>48</v>
      </c>
      <c r="D27">
        <f>3*60+14</f>
        <v>194</v>
      </c>
      <c r="E27" s="2">
        <f t="shared" si="0"/>
        <v>0.13472222222222213</v>
      </c>
      <c r="F27" s="2">
        <v>0.61388888888888882</v>
      </c>
      <c r="G27" s="1">
        <v>31780</v>
      </c>
    </row>
    <row r="28" spans="2:7" x14ac:dyDescent="0.25">
      <c r="B28" t="s">
        <v>24</v>
      </c>
      <c r="C28" t="s">
        <v>63</v>
      </c>
      <c r="D28">
        <f>3*60+53</f>
        <v>233</v>
      </c>
      <c r="E28" s="2">
        <f t="shared" si="0"/>
        <v>0.16180555555555548</v>
      </c>
      <c r="F28" s="2">
        <v>0.64097222222222217</v>
      </c>
      <c r="G28" s="1">
        <v>24758</v>
      </c>
    </row>
    <row r="29" spans="2:7" x14ac:dyDescent="0.25">
      <c r="B29" t="s">
        <v>25</v>
      </c>
      <c r="C29" t="s">
        <v>64</v>
      </c>
      <c r="D29">
        <f>4*60+36</f>
        <v>276</v>
      </c>
      <c r="E29" s="2">
        <f t="shared" si="0"/>
        <v>0.19166666666666671</v>
      </c>
      <c r="F29" s="2">
        <v>0.67083333333333339</v>
      </c>
      <c r="G29" s="1">
        <v>44280</v>
      </c>
    </row>
    <row r="30" spans="2:7" x14ac:dyDescent="0.25">
      <c r="B30" t="s">
        <v>26</v>
      </c>
      <c r="C30" t="s">
        <v>65</v>
      </c>
      <c r="D30">
        <f>4*60+59</f>
        <v>299</v>
      </c>
      <c r="E30" s="2">
        <f t="shared" si="0"/>
        <v>0.20763888888888887</v>
      </c>
      <c r="F30" s="2">
        <v>0.68680555555555556</v>
      </c>
      <c r="G30" s="1">
        <v>49974</v>
      </c>
    </row>
    <row r="31" spans="2:7" x14ac:dyDescent="0.25">
      <c r="B31" t="s">
        <v>27</v>
      </c>
      <c r="C31" t="s">
        <v>66</v>
      </c>
      <c r="D31">
        <f>5*60+26</f>
        <v>326</v>
      </c>
      <c r="E31" s="2">
        <f t="shared" si="0"/>
        <v>0.22638888888888892</v>
      </c>
      <c r="F31" s="2">
        <v>0.7055555555555556</v>
      </c>
      <c r="G31" s="1">
        <v>60893</v>
      </c>
    </row>
    <row r="32" spans="2:7" x14ac:dyDescent="0.25">
      <c r="B32" t="s">
        <v>28</v>
      </c>
      <c r="C32" t="s">
        <v>67</v>
      </c>
      <c r="D32">
        <f>6*60+23</f>
        <v>383</v>
      </c>
      <c r="E32" s="2">
        <f t="shared" si="0"/>
        <v>0.26597222222222222</v>
      </c>
      <c r="F32" s="2">
        <v>0.74513888888888891</v>
      </c>
      <c r="G32" t="s">
        <v>1</v>
      </c>
    </row>
    <row r="33" spans="2:7" x14ac:dyDescent="0.25">
      <c r="B33" t="s">
        <v>29</v>
      </c>
      <c r="C33" t="s">
        <v>68</v>
      </c>
      <c r="D33">
        <f>8*60+7</f>
        <v>487</v>
      </c>
      <c r="E33" s="2">
        <f t="shared" si="0"/>
        <v>0.33819444444444441</v>
      </c>
      <c r="F33" s="2">
        <v>0.81736111111111109</v>
      </c>
      <c r="G33" s="1">
        <v>111941</v>
      </c>
    </row>
    <row r="34" spans="2:7" x14ac:dyDescent="0.25">
      <c r="B34" t="s">
        <v>30</v>
      </c>
      <c r="C34" t="s">
        <v>45</v>
      </c>
      <c r="E34" s="2"/>
      <c r="G34" s="1">
        <v>205177</v>
      </c>
    </row>
    <row r="35" spans="2:7" x14ac:dyDescent="0.25">
      <c r="B35" t="s">
        <v>31</v>
      </c>
      <c r="C35" t="s">
        <v>46</v>
      </c>
      <c r="E35" s="2"/>
      <c r="G35" s="1">
        <v>220369</v>
      </c>
    </row>
    <row r="36" spans="2:7" x14ac:dyDescent="0.25">
      <c r="B36" t="s">
        <v>32</v>
      </c>
      <c r="C36" t="s">
        <v>47</v>
      </c>
      <c r="E36" s="2"/>
      <c r="G36" s="1">
        <v>253342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8"/>
  <sheetViews>
    <sheetView workbookViewId="0">
      <selection activeCell="G6" sqref="G6:G36"/>
    </sheetView>
  </sheetViews>
  <sheetFormatPr defaultRowHeight="15" x14ac:dyDescent="0.25"/>
  <cols>
    <col min="2" max="2" width="15.7109375" customWidth="1"/>
    <col min="3" max="3" width="15.28515625" customWidth="1"/>
    <col min="4" max="4" width="17" customWidth="1"/>
    <col min="5" max="5" width="14.140625" customWidth="1"/>
    <col min="6" max="6" width="13.7109375" customWidth="1"/>
    <col min="7" max="7" width="12" customWidth="1"/>
  </cols>
  <sheetData>
    <row r="3" spans="2:7" x14ac:dyDescent="0.25">
      <c r="B3" t="s">
        <v>38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38743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41768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45362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43503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42796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2333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2202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2205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2139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2134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2177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2155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2137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2138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2160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1992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2201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2099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2633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3195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4601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3116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5122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3927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6013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6452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7589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9009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11629</v>
      </c>
    </row>
    <row r="35" spans="2:7" x14ac:dyDescent="0.25">
      <c r="B35" t="s">
        <v>30</v>
      </c>
      <c r="C35" t="s">
        <v>45</v>
      </c>
      <c r="E35" s="2"/>
      <c r="G35" s="1">
        <v>27994</v>
      </c>
    </row>
    <row r="36" spans="2:7" x14ac:dyDescent="0.25">
      <c r="B36" t="s">
        <v>31</v>
      </c>
      <c r="C36" t="s">
        <v>46</v>
      </c>
      <c r="E36" s="2"/>
      <c r="G36" s="1">
        <v>28437</v>
      </c>
    </row>
    <row r="37" spans="2:7" x14ac:dyDescent="0.25">
      <c r="B37" t="s">
        <v>32</v>
      </c>
      <c r="C37" t="s">
        <v>47</v>
      </c>
      <c r="E37" s="2"/>
    </row>
    <row r="38" spans="2:7" x14ac:dyDescent="0.25">
      <c r="C38" s="1">
        <v>32414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76"/>
  <sheetViews>
    <sheetView topLeftCell="A40" workbookViewId="0">
      <selection activeCell="G45" sqref="G45:G76"/>
    </sheetView>
  </sheetViews>
  <sheetFormatPr defaultRowHeight="15" x14ac:dyDescent="0.25"/>
  <cols>
    <col min="2" max="3" width="18.28515625" customWidth="1"/>
    <col min="4" max="4" width="17.85546875" customWidth="1"/>
    <col min="5" max="5" width="13.140625" customWidth="1"/>
    <col min="7" max="7" width="16.42578125" customWidth="1"/>
  </cols>
  <sheetData>
    <row r="3" spans="2:7" x14ac:dyDescent="0.25">
      <c r="B3" t="s">
        <v>37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13558865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14598976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14678123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14330488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14297503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850228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2466266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1629694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1010279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1013199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1205936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952135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1104342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1282389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1173886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1198812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1819744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1407541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3276137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1574109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1747241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2357248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858820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2745758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3496061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4481813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3832659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5284747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4973506</v>
      </c>
    </row>
    <row r="35" spans="2:7" x14ac:dyDescent="0.25">
      <c r="B35" t="s">
        <v>30</v>
      </c>
      <c r="C35" t="s">
        <v>45</v>
      </c>
      <c r="E35" s="2"/>
      <c r="G35" s="1">
        <v>13244987</v>
      </c>
    </row>
    <row r="36" spans="2:7" x14ac:dyDescent="0.25">
      <c r="B36" t="s">
        <v>31</v>
      </c>
      <c r="C36" t="s">
        <v>46</v>
      </c>
      <c r="E36" s="2"/>
      <c r="G36" s="1">
        <v>13414216</v>
      </c>
    </row>
    <row r="37" spans="2:7" x14ac:dyDescent="0.25">
      <c r="B37" t="s">
        <v>32</v>
      </c>
      <c r="C37" t="s">
        <v>47</v>
      </c>
      <c r="E37" s="2"/>
    </row>
    <row r="43" spans="2:7" x14ac:dyDescent="0.25">
      <c r="B43" t="s">
        <v>36</v>
      </c>
    </row>
    <row r="44" spans="2:7" x14ac:dyDescent="0.25">
      <c r="B44" t="s">
        <v>33</v>
      </c>
      <c r="C44" t="s">
        <v>39</v>
      </c>
      <c r="D44" t="s">
        <v>71</v>
      </c>
      <c r="E44" t="s">
        <v>70</v>
      </c>
      <c r="F44" t="s">
        <v>69</v>
      </c>
    </row>
    <row r="45" spans="2:7" x14ac:dyDescent="0.25">
      <c r="B45" t="s">
        <v>0</v>
      </c>
      <c r="C45" t="s">
        <v>40</v>
      </c>
      <c r="F45" s="2">
        <v>0.39166666666666666</v>
      </c>
      <c r="G45" s="1">
        <v>105872</v>
      </c>
    </row>
    <row r="46" spans="2:7" x14ac:dyDescent="0.25">
      <c r="B46" t="s">
        <v>2</v>
      </c>
      <c r="C46" t="s">
        <v>41</v>
      </c>
      <c r="F46" s="2">
        <v>0.39444444444444443</v>
      </c>
      <c r="G46" s="1">
        <v>138455</v>
      </c>
    </row>
    <row r="47" spans="2:7" x14ac:dyDescent="0.25">
      <c r="B47" t="s">
        <v>3</v>
      </c>
      <c r="C47" t="s">
        <v>42</v>
      </c>
      <c r="F47" s="2">
        <v>0.3979166666666667</v>
      </c>
      <c r="G47" s="1">
        <v>156739</v>
      </c>
    </row>
    <row r="48" spans="2:7" x14ac:dyDescent="0.25">
      <c r="B48" t="s">
        <v>4</v>
      </c>
      <c r="C48" t="s">
        <v>43</v>
      </c>
      <c r="F48" s="2">
        <v>0.39930555555555558</v>
      </c>
      <c r="G48" s="1">
        <v>153577</v>
      </c>
    </row>
    <row r="49" spans="2:7" x14ac:dyDescent="0.25">
      <c r="B49" t="s">
        <v>5</v>
      </c>
      <c r="C49" t="s">
        <v>44</v>
      </c>
      <c r="F49" s="2">
        <v>0.40138888888888885</v>
      </c>
      <c r="G49" s="1">
        <v>155923</v>
      </c>
    </row>
    <row r="50" spans="2:7" x14ac:dyDescent="0.25">
      <c r="B50" t="s">
        <v>6</v>
      </c>
      <c r="C50" t="s">
        <v>48</v>
      </c>
      <c r="F50" s="2">
        <v>0.4145833333333333</v>
      </c>
      <c r="G50" t="s">
        <v>1</v>
      </c>
    </row>
    <row r="51" spans="2:7" x14ac:dyDescent="0.25">
      <c r="B51" t="s">
        <v>7</v>
      </c>
      <c r="C51" t="s">
        <v>49</v>
      </c>
      <c r="F51" s="2">
        <v>0.41597222222222219</v>
      </c>
      <c r="G51" t="s">
        <v>1</v>
      </c>
    </row>
    <row r="52" spans="2:7" x14ac:dyDescent="0.25">
      <c r="B52" t="s">
        <v>8</v>
      </c>
      <c r="C52" t="s">
        <v>50</v>
      </c>
      <c r="F52" s="2">
        <v>0.41805555555555557</v>
      </c>
      <c r="G52" t="s">
        <v>1</v>
      </c>
    </row>
    <row r="53" spans="2:7" x14ac:dyDescent="0.25">
      <c r="B53" t="s">
        <v>9</v>
      </c>
      <c r="C53" t="s">
        <v>51</v>
      </c>
      <c r="F53" s="2">
        <v>0.43958333333333338</v>
      </c>
      <c r="G53" t="s">
        <v>1</v>
      </c>
    </row>
    <row r="54" spans="2:7" x14ac:dyDescent="0.25">
      <c r="B54" t="s">
        <v>10</v>
      </c>
      <c r="C54" t="s">
        <v>52</v>
      </c>
      <c r="F54" s="2">
        <v>0.44097222222222227</v>
      </c>
      <c r="G54" t="s">
        <v>1</v>
      </c>
    </row>
    <row r="55" spans="2:7" x14ac:dyDescent="0.25">
      <c r="B55" t="s">
        <v>11</v>
      </c>
      <c r="C55" t="s">
        <v>53</v>
      </c>
      <c r="F55" s="2">
        <v>0.46111111111111108</v>
      </c>
      <c r="G55" t="s">
        <v>1</v>
      </c>
    </row>
    <row r="56" spans="2:7" x14ac:dyDescent="0.25">
      <c r="B56" t="s">
        <v>12</v>
      </c>
      <c r="C56" t="s">
        <v>54</v>
      </c>
      <c r="D56">
        <f>24</f>
        <v>24</v>
      </c>
      <c r="E56" s="2">
        <f t="shared" ref="E56:E73" si="1">F56-$F$4</f>
        <v>0.49583333333333335</v>
      </c>
      <c r="F56" s="2">
        <v>0.49583333333333335</v>
      </c>
      <c r="G56" t="s">
        <v>1</v>
      </c>
    </row>
    <row r="57" spans="2:7" x14ac:dyDescent="0.25">
      <c r="B57" t="s">
        <v>13</v>
      </c>
      <c r="C57" t="s">
        <v>55</v>
      </c>
      <c r="D57">
        <f>50</f>
        <v>50</v>
      </c>
      <c r="E57" s="2">
        <f t="shared" si="1"/>
        <v>0.51388888888888895</v>
      </c>
      <c r="F57" s="2">
        <v>0.51388888888888895</v>
      </c>
      <c r="G57" t="s">
        <v>1</v>
      </c>
    </row>
    <row r="58" spans="2:7" x14ac:dyDescent="0.25">
      <c r="B58" t="s">
        <v>14</v>
      </c>
      <c r="C58" t="s">
        <v>56</v>
      </c>
      <c r="D58">
        <f>60*1+14</f>
        <v>74</v>
      </c>
      <c r="E58" s="2">
        <f t="shared" si="1"/>
        <v>0.53055555555555556</v>
      </c>
      <c r="F58" s="2">
        <v>0.53055555555555556</v>
      </c>
      <c r="G58" t="s">
        <v>1</v>
      </c>
    </row>
    <row r="59" spans="2:7" x14ac:dyDescent="0.25">
      <c r="B59" t="s">
        <v>15</v>
      </c>
      <c r="C59" t="s">
        <v>57</v>
      </c>
      <c r="D59">
        <f>1*60+34</f>
        <v>94</v>
      </c>
      <c r="E59" s="2">
        <f t="shared" si="1"/>
        <v>0.5444444444444444</v>
      </c>
      <c r="F59" s="2">
        <v>0.5444444444444444</v>
      </c>
      <c r="G59" s="1">
        <v>1711</v>
      </c>
    </row>
    <row r="60" spans="2:7" x14ac:dyDescent="0.25">
      <c r="B60" t="s">
        <v>16</v>
      </c>
      <c r="C60" t="s">
        <v>58</v>
      </c>
      <c r="D60">
        <f>1*60+36</f>
        <v>96</v>
      </c>
      <c r="E60" s="2">
        <f t="shared" si="1"/>
        <v>0.54583333333333328</v>
      </c>
      <c r="F60" s="2">
        <v>0.54583333333333328</v>
      </c>
      <c r="G60" t="s">
        <v>1</v>
      </c>
    </row>
    <row r="61" spans="2:7" x14ac:dyDescent="0.25">
      <c r="B61" t="s">
        <v>17</v>
      </c>
      <c r="C61" t="s">
        <v>59</v>
      </c>
      <c r="D61">
        <f>2*60+1</f>
        <v>121</v>
      </c>
      <c r="E61" s="2">
        <f t="shared" si="1"/>
        <v>0.56319444444444444</v>
      </c>
      <c r="F61" s="2">
        <v>0.56319444444444444</v>
      </c>
      <c r="G61" s="1">
        <v>1674</v>
      </c>
    </row>
    <row r="62" spans="2:7" x14ac:dyDescent="0.25">
      <c r="B62" t="s">
        <v>18</v>
      </c>
      <c r="C62" t="s">
        <v>58</v>
      </c>
      <c r="D62">
        <f>60*2+3</f>
        <v>123</v>
      </c>
      <c r="E62" s="2">
        <f t="shared" si="1"/>
        <v>0.56458333333333333</v>
      </c>
      <c r="F62" s="2">
        <v>0.56458333333333333</v>
      </c>
      <c r="G62" s="1">
        <v>1031</v>
      </c>
    </row>
    <row r="63" spans="2:7" x14ac:dyDescent="0.25">
      <c r="B63" t="s">
        <v>19</v>
      </c>
      <c r="C63" t="s">
        <v>60</v>
      </c>
      <c r="D63">
        <f>2*60+28</f>
        <v>148</v>
      </c>
      <c r="E63" s="2">
        <f t="shared" si="1"/>
        <v>0.58194444444444449</v>
      </c>
      <c r="F63" s="2">
        <v>0.58194444444444449</v>
      </c>
      <c r="G63" s="1">
        <v>7419</v>
      </c>
    </row>
    <row r="64" spans="2:7" x14ac:dyDescent="0.25">
      <c r="B64" t="s">
        <v>20</v>
      </c>
      <c r="C64" t="s">
        <v>61</v>
      </c>
      <c r="D64">
        <f>2*60+51</f>
        <v>171</v>
      </c>
      <c r="E64" s="2">
        <f t="shared" si="1"/>
        <v>0.59791666666666665</v>
      </c>
      <c r="F64" s="2">
        <v>0.59791666666666665</v>
      </c>
      <c r="G64" s="1">
        <v>32994</v>
      </c>
    </row>
    <row r="65" spans="2:7" x14ac:dyDescent="0.25">
      <c r="B65" t="s">
        <v>21</v>
      </c>
      <c r="C65" t="s">
        <v>48</v>
      </c>
      <c r="D65">
        <f>2*60+53</f>
        <v>173</v>
      </c>
      <c r="E65" s="2">
        <f t="shared" si="1"/>
        <v>0.59930555555555554</v>
      </c>
      <c r="F65" s="2">
        <v>0.59930555555555554</v>
      </c>
      <c r="G65" s="1">
        <v>26359</v>
      </c>
    </row>
    <row r="66" spans="2:7" x14ac:dyDescent="0.25">
      <c r="B66" t="s">
        <v>22</v>
      </c>
      <c r="C66" t="s">
        <v>62</v>
      </c>
      <c r="D66">
        <f>3*60+12</f>
        <v>192</v>
      </c>
      <c r="E66" s="2">
        <f t="shared" si="1"/>
        <v>0.61249999999999993</v>
      </c>
      <c r="F66" s="2">
        <v>0.61249999999999993</v>
      </c>
      <c r="G66" s="1">
        <v>15314</v>
      </c>
    </row>
    <row r="67" spans="2:7" x14ac:dyDescent="0.25">
      <c r="B67" t="s">
        <v>23</v>
      </c>
      <c r="C67" t="s">
        <v>48</v>
      </c>
      <c r="D67">
        <f>3*60+14</f>
        <v>194</v>
      </c>
      <c r="E67" s="2">
        <f t="shared" si="1"/>
        <v>0.61388888888888882</v>
      </c>
      <c r="F67" s="2">
        <v>0.61388888888888882</v>
      </c>
      <c r="G67" s="1">
        <v>28330</v>
      </c>
    </row>
    <row r="68" spans="2:7" x14ac:dyDescent="0.25">
      <c r="B68" t="s">
        <v>24</v>
      </c>
      <c r="C68" t="s">
        <v>63</v>
      </c>
      <c r="D68">
        <f>3*60+53</f>
        <v>233</v>
      </c>
      <c r="E68" s="2">
        <f t="shared" si="1"/>
        <v>0.64097222222222217</v>
      </c>
      <c r="F68" s="2">
        <v>0.64097222222222217</v>
      </c>
      <c r="G68" s="1">
        <v>26190</v>
      </c>
    </row>
    <row r="69" spans="2:7" x14ac:dyDescent="0.25">
      <c r="B69" t="s">
        <v>25</v>
      </c>
      <c r="C69" t="s">
        <v>64</v>
      </c>
      <c r="D69">
        <f>4*60+36</f>
        <v>276</v>
      </c>
      <c r="E69" s="2">
        <f t="shared" si="1"/>
        <v>0.67083333333333339</v>
      </c>
      <c r="F69" s="2">
        <v>0.67083333333333339</v>
      </c>
      <c r="G69" s="1">
        <v>45661</v>
      </c>
    </row>
    <row r="70" spans="2:7" x14ac:dyDescent="0.25">
      <c r="B70" t="s">
        <v>26</v>
      </c>
      <c r="C70" t="s">
        <v>65</v>
      </c>
      <c r="D70">
        <f>4*60+59</f>
        <v>299</v>
      </c>
      <c r="E70" s="2">
        <f t="shared" si="1"/>
        <v>0.68680555555555556</v>
      </c>
      <c r="F70" s="2">
        <v>0.68680555555555556</v>
      </c>
      <c r="G70" s="1">
        <v>49334</v>
      </c>
    </row>
    <row r="71" spans="2:7" x14ac:dyDescent="0.25">
      <c r="B71" t="s">
        <v>27</v>
      </c>
      <c r="C71" t="s">
        <v>66</v>
      </c>
      <c r="D71">
        <f>5*60+26</f>
        <v>326</v>
      </c>
      <c r="E71" s="2">
        <f t="shared" si="1"/>
        <v>0.7055555555555556</v>
      </c>
      <c r="F71" s="2">
        <v>0.7055555555555556</v>
      </c>
      <c r="G71" s="1">
        <v>58120</v>
      </c>
    </row>
    <row r="72" spans="2:7" x14ac:dyDescent="0.25">
      <c r="B72" t="s">
        <v>28</v>
      </c>
      <c r="C72" t="s">
        <v>67</v>
      </c>
      <c r="D72">
        <f>6*60+23</f>
        <v>383</v>
      </c>
      <c r="E72" s="2">
        <f t="shared" si="1"/>
        <v>0.74513888888888891</v>
      </c>
      <c r="F72" s="2">
        <v>0.74513888888888891</v>
      </c>
      <c r="G72" s="1">
        <v>66545</v>
      </c>
    </row>
    <row r="73" spans="2:7" x14ac:dyDescent="0.25">
      <c r="B73" t="s">
        <v>29</v>
      </c>
      <c r="C73" t="s">
        <v>68</v>
      </c>
      <c r="D73">
        <f>8*60+7</f>
        <v>487</v>
      </c>
      <c r="E73" s="2">
        <f t="shared" si="1"/>
        <v>0.81736111111111109</v>
      </c>
      <c r="F73" s="2">
        <v>0.81736111111111109</v>
      </c>
      <c r="G73" s="1">
        <v>90196</v>
      </c>
    </row>
    <row r="74" spans="2:7" x14ac:dyDescent="0.25">
      <c r="B74" t="s">
        <v>30</v>
      </c>
      <c r="C74" t="s">
        <v>45</v>
      </c>
      <c r="E74" s="2"/>
      <c r="G74" s="1">
        <v>114371</v>
      </c>
    </row>
    <row r="75" spans="2:7" x14ac:dyDescent="0.25">
      <c r="B75" t="s">
        <v>31</v>
      </c>
      <c r="C75" t="s">
        <v>46</v>
      </c>
      <c r="E75" s="2"/>
      <c r="G75" s="1">
        <v>127131</v>
      </c>
    </row>
    <row r="76" spans="2:7" x14ac:dyDescent="0.25">
      <c r="B76" t="s">
        <v>32</v>
      </c>
      <c r="C76" t="s">
        <v>47</v>
      </c>
      <c r="E76" s="2"/>
      <c r="G76" s="1">
        <v>149057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E52-5A37-4526-9FFB-7C4083362A52}">
  <dimension ref="B3:BI49"/>
  <sheetViews>
    <sheetView tabSelected="1" topLeftCell="BJ1" workbookViewId="0">
      <selection activeCell="BK31" sqref="BK31"/>
    </sheetView>
  </sheetViews>
  <sheetFormatPr defaultRowHeight="15" x14ac:dyDescent="0.25"/>
  <cols>
    <col min="1" max="1" width="9.140625" style="10"/>
    <col min="2" max="2" width="23.42578125" style="10" customWidth="1"/>
    <col min="3" max="3" width="20.7109375" style="10" customWidth="1"/>
    <col min="4" max="4" width="18.85546875" style="10" customWidth="1"/>
    <col min="5" max="5" width="15.28515625" style="10" customWidth="1"/>
    <col min="6" max="6" width="9.140625" style="10"/>
    <col min="7" max="7" width="14.28515625" style="10" customWidth="1"/>
    <col min="8" max="8" width="17.140625" style="10" customWidth="1"/>
    <col min="9" max="9" width="26" style="10" customWidth="1"/>
    <col min="10" max="10" width="22.42578125" style="10" customWidth="1"/>
    <col min="11" max="11" width="21.42578125" style="10" customWidth="1"/>
    <col min="12" max="13" width="9.140625" style="10"/>
    <col min="14" max="14" width="13.42578125" style="10" customWidth="1"/>
    <col min="15" max="16" width="9.140625" style="10"/>
    <col min="17" max="17" width="14.28515625" style="10" customWidth="1"/>
    <col min="18" max="18" width="12.42578125" style="10" customWidth="1"/>
    <col min="19" max="19" width="14.42578125" style="10" customWidth="1"/>
    <col min="20" max="21" width="18.42578125" style="10" customWidth="1"/>
    <col min="22" max="22" width="15" style="10" customWidth="1"/>
    <col min="23" max="24" width="14.28515625" style="10" customWidth="1"/>
    <col min="25" max="26" width="18.7109375" style="10" customWidth="1"/>
    <col min="27" max="27" width="16.140625" style="10" customWidth="1"/>
    <col min="28" max="28" width="15" style="10" customWidth="1"/>
    <col min="29" max="29" width="18.7109375" style="10" customWidth="1"/>
    <col min="30" max="31" width="21.7109375" style="10" customWidth="1"/>
    <col min="32" max="32" width="12" style="10" bestFit="1" customWidth="1"/>
    <col min="33" max="33" width="9.140625" style="10"/>
    <col min="34" max="34" width="14.42578125" style="10" customWidth="1"/>
    <col min="35" max="36" width="19" style="10" customWidth="1"/>
    <col min="37" max="37" width="13.7109375" style="10" customWidth="1"/>
    <col min="38" max="38" width="12.42578125" style="10" customWidth="1"/>
    <col min="39" max="39" width="12.7109375" style="10" customWidth="1"/>
    <col min="40" max="41" width="18.28515625" style="10" customWidth="1"/>
    <col min="42" max="43" width="9.140625" style="10"/>
    <col min="44" max="44" width="15.28515625" style="10" customWidth="1"/>
    <col min="45" max="46" width="18.7109375" style="10" customWidth="1"/>
    <col min="47" max="47" width="14.85546875" style="10" customWidth="1"/>
    <col min="48" max="48" width="9.140625" style="10"/>
    <col min="49" max="49" width="14.28515625" style="10" customWidth="1"/>
    <col min="50" max="51" width="18.85546875" style="10" customWidth="1"/>
    <col min="52" max="53" width="9.140625" style="10"/>
    <col min="54" max="54" width="13.42578125" style="10" customWidth="1"/>
    <col min="55" max="58" width="18.140625" style="10" customWidth="1"/>
    <col min="59" max="59" width="16.5703125" style="10" customWidth="1"/>
    <col min="60" max="60" width="19.5703125" style="10" customWidth="1"/>
    <col min="61" max="16384" width="9.140625" style="10"/>
  </cols>
  <sheetData>
    <row r="3" spans="2:61" x14ac:dyDescent="0.25">
      <c r="B3" s="14"/>
      <c r="C3" s="14"/>
      <c r="D3" s="14"/>
      <c r="E3" s="14"/>
      <c r="F3" s="9">
        <v>0.41319444444444442</v>
      </c>
      <c r="G3" s="9"/>
      <c r="H3" s="9"/>
      <c r="I3" s="9"/>
      <c r="J3" s="9"/>
      <c r="K3" s="9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2:61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8" t="s">
        <v>72</v>
      </c>
      <c r="M4" s="18"/>
      <c r="N4" s="18"/>
      <c r="O4" s="18"/>
      <c r="P4" s="18"/>
      <c r="Q4" s="18" t="s">
        <v>119</v>
      </c>
      <c r="R4" s="18"/>
      <c r="S4" s="18"/>
      <c r="T4" s="18"/>
      <c r="U4" s="18"/>
      <c r="V4" s="18" t="s">
        <v>80</v>
      </c>
      <c r="W4" s="18"/>
      <c r="X4" s="18"/>
      <c r="Y4" s="18"/>
      <c r="Z4" s="18"/>
      <c r="AA4" s="18" t="s">
        <v>81</v>
      </c>
      <c r="AB4" s="18"/>
      <c r="AC4" s="18"/>
      <c r="AD4" s="18"/>
      <c r="AE4" s="18"/>
      <c r="AF4" s="18" t="s">
        <v>82</v>
      </c>
      <c r="AG4" s="18"/>
      <c r="AH4" s="18"/>
      <c r="AI4" s="18"/>
      <c r="AJ4" s="14"/>
      <c r="AK4" s="18" t="s">
        <v>83</v>
      </c>
      <c r="AL4" s="18"/>
      <c r="AM4" s="18"/>
      <c r="AN4" s="18"/>
      <c r="AO4" s="18"/>
      <c r="AP4" s="18" t="s">
        <v>84</v>
      </c>
      <c r="AQ4" s="18"/>
      <c r="AR4" s="18"/>
      <c r="AS4" s="18"/>
      <c r="AT4" s="18"/>
      <c r="AU4" s="18" t="s">
        <v>85</v>
      </c>
      <c r="AV4" s="18"/>
      <c r="AW4" s="18"/>
      <c r="AX4" s="18"/>
      <c r="AY4" s="18"/>
      <c r="AZ4" s="18" t="s">
        <v>86</v>
      </c>
      <c r="BA4" s="18"/>
      <c r="BB4" s="18"/>
      <c r="BC4" s="18"/>
      <c r="BD4" s="18"/>
      <c r="BE4" s="14"/>
      <c r="BF4" s="14"/>
      <c r="BG4" s="18" t="s">
        <v>87</v>
      </c>
      <c r="BH4" s="18"/>
    </row>
    <row r="5" spans="2:61" x14ac:dyDescent="0.25">
      <c r="B5" s="14" t="s">
        <v>33</v>
      </c>
      <c r="C5" s="14" t="s">
        <v>39</v>
      </c>
      <c r="D5" s="14" t="s">
        <v>71</v>
      </c>
      <c r="E5" s="14" t="s">
        <v>70</v>
      </c>
      <c r="F5" s="14" t="s">
        <v>69</v>
      </c>
      <c r="G5" s="14" t="s">
        <v>73</v>
      </c>
      <c r="H5" s="14" t="s">
        <v>74</v>
      </c>
      <c r="I5" s="14" t="s">
        <v>75</v>
      </c>
      <c r="J5" s="14" t="s">
        <v>76</v>
      </c>
      <c r="K5" s="14" t="s">
        <v>77</v>
      </c>
      <c r="L5" s="14" t="s">
        <v>35</v>
      </c>
      <c r="M5" s="14" t="s">
        <v>38</v>
      </c>
      <c r="N5" s="14" t="s">
        <v>37</v>
      </c>
      <c r="O5" s="14" t="s">
        <v>36</v>
      </c>
      <c r="P5" s="14" t="s">
        <v>118</v>
      </c>
      <c r="Q5" s="14" t="s">
        <v>35</v>
      </c>
      <c r="R5" s="14" t="s">
        <v>38</v>
      </c>
      <c r="S5" s="14" t="s">
        <v>78</v>
      </c>
      <c r="T5" s="14" t="s">
        <v>79</v>
      </c>
      <c r="U5" s="14" t="s">
        <v>118</v>
      </c>
      <c r="V5" s="14" t="s">
        <v>35</v>
      </c>
      <c r="W5" s="14" t="s">
        <v>38</v>
      </c>
      <c r="X5" s="14" t="s">
        <v>78</v>
      </c>
      <c r="Y5" s="14" t="s">
        <v>79</v>
      </c>
      <c r="Z5" s="14" t="s">
        <v>118</v>
      </c>
      <c r="AA5" s="14" t="s">
        <v>35</v>
      </c>
      <c r="AB5" s="14" t="s">
        <v>38</v>
      </c>
      <c r="AC5" s="14" t="s">
        <v>78</v>
      </c>
      <c r="AD5" s="14" t="s">
        <v>79</v>
      </c>
      <c r="AE5" s="14" t="s">
        <v>118</v>
      </c>
      <c r="AF5" s="14" t="s">
        <v>35</v>
      </c>
      <c r="AG5" s="14" t="s">
        <v>38</v>
      </c>
      <c r="AH5" s="14" t="s">
        <v>78</v>
      </c>
      <c r="AI5" s="14" t="s">
        <v>79</v>
      </c>
      <c r="AJ5" s="14" t="s">
        <v>118</v>
      </c>
      <c r="AK5" s="14" t="s">
        <v>35</v>
      </c>
      <c r="AL5" s="14" t="s">
        <v>38</v>
      </c>
      <c r="AM5" s="14" t="s">
        <v>78</v>
      </c>
      <c r="AN5" s="14" t="s">
        <v>79</v>
      </c>
      <c r="AO5" s="14" t="s">
        <v>118</v>
      </c>
      <c r="AP5" s="14" t="s">
        <v>35</v>
      </c>
      <c r="AQ5" s="14" t="s">
        <v>38</v>
      </c>
      <c r="AR5" s="14" t="s">
        <v>78</v>
      </c>
      <c r="AS5" s="14" t="s">
        <v>79</v>
      </c>
      <c r="AT5" s="14" t="s">
        <v>118</v>
      </c>
      <c r="AU5" s="14" t="s">
        <v>35</v>
      </c>
      <c r="AV5" s="14" t="s">
        <v>38</v>
      </c>
      <c r="AW5" s="14" t="s">
        <v>78</v>
      </c>
      <c r="AX5" s="14" t="s">
        <v>79</v>
      </c>
      <c r="AY5" s="14" t="s">
        <v>118</v>
      </c>
      <c r="AZ5" s="14" t="s">
        <v>35</v>
      </c>
      <c r="BA5" s="14" t="s">
        <v>38</v>
      </c>
      <c r="BB5" s="14" t="s">
        <v>78</v>
      </c>
      <c r="BC5" s="14" t="s">
        <v>79</v>
      </c>
      <c r="BD5" s="14" t="s">
        <v>118</v>
      </c>
      <c r="BE5" s="14"/>
      <c r="BF5" s="14"/>
      <c r="BG5" s="10" t="s">
        <v>71</v>
      </c>
      <c r="BH5" s="14" t="s">
        <v>88</v>
      </c>
    </row>
    <row r="6" spans="2:61" s="4" customFormat="1" x14ac:dyDescent="0.25">
      <c r="B6" s="4" t="s">
        <v>89</v>
      </c>
      <c r="C6" s="5" t="s">
        <v>40</v>
      </c>
      <c r="D6" s="5"/>
      <c r="E6" s="5"/>
      <c r="F6" s="7">
        <v>0.40763888888888888</v>
      </c>
      <c r="G6" s="8">
        <v>9.9733999999999998</v>
      </c>
      <c r="H6" s="8">
        <v>19.0017</v>
      </c>
      <c r="I6" s="8">
        <v>14.865399999999999</v>
      </c>
      <c r="J6" s="8">
        <f>H6-I6</f>
        <v>4.1363000000000003</v>
      </c>
      <c r="K6" s="8">
        <f>I6-G6</f>
        <v>4.8919999999999995</v>
      </c>
      <c r="L6" s="15">
        <v>159376</v>
      </c>
      <c r="M6" s="15">
        <v>35082</v>
      </c>
      <c r="N6" s="15">
        <v>9773204</v>
      </c>
      <c r="O6" s="15">
        <v>160244</v>
      </c>
      <c r="P6" s="15">
        <v>2057253</v>
      </c>
      <c r="Q6" s="5">
        <f>(L6+41130)/9817.1</f>
        <v>20.424157847022034</v>
      </c>
      <c r="R6" s="5">
        <f>(M6-895.67)/4.4253</f>
        <v>7725.2005513750482</v>
      </c>
      <c r="S6" s="5">
        <f>(N6-135841)/69413</f>
        <v>138.84089435696484</v>
      </c>
      <c r="T6" s="5">
        <f t="shared" ref="T6:T36" si="0">(4*10^-9*O6)+0.0001</f>
        <v>7.4097600000000007E-4</v>
      </c>
      <c r="U6" s="5">
        <f>(P6+4076.7)/5248.6</f>
        <v>392.73895896048464</v>
      </c>
      <c r="V6" s="5">
        <f>Q6/1000*1.2381</f>
        <v>2.5287149830397981E-2</v>
      </c>
      <c r="W6" s="5">
        <f>R6/1000*1.64^-1</f>
        <v>4.7104881410823465</v>
      </c>
      <c r="X6" s="5">
        <f>S6/1000*1.8084</f>
        <v>0.25107987335513521</v>
      </c>
      <c r="Y6" s="5">
        <f>T6/1000*6.0383</f>
        <v>4.4742353808000001E-6</v>
      </c>
      <c r="Z6" s="5">
        <f>U6/1000*6.57*10^-1</f>
        <v>0.25802949603703845</v>
      </c>
      <c r="AA6" s="5">
        <f>(Q6/1000000)*0.0019*30.07*1000</f>
        <v>1.1668934102739099E-3</v>
      </c>
      <c r="AB6" s="5">
        <f>(R6/1000000)*0.00037*4*1000</f>
        <v>1.143329681603507E-2</v>
      </c>
      <c r="AC6" s="5">
        <f>(S6/1000000)*0.0245*44.01*1000</f>
        <v>0.14970450013592557</v>
      </c>
      <c r="AD6" s="5">
        <f>(T6/1000000)*0.00024*146.06*1000</f>
        <v>2.5974469094400001E-8</v>
      </c>
      <c r="AE6" s="5">
        <f>(U6/1000000)*0.0015*16.04*1000</f>
        <v>9.4492993525892612E-3</v>
      </c>
      <c r="AF6" s="5">
        <f>(V6*J6/1000)+(AA6*K6/1000)</f>
        <v>1.1030368040653514E-4</v>
      </c>
      <c r="AG6" s="5">
        <f>(W6*J6/1000)+(AB6*K6/1000)</f>
        <v>1.9539923785982953E-2</v>
      </c>
      <c r="AH6" s="5">
        <f>(X6*J6/1000)+(AC6*K6/1000)</f>
        <v>1.7708960948237937E-3</v>
      </c>
      <c r="AI6" s="5">
        <f>(Y6*J6/1000)+(AD6*K6/1000)</f>
        <v>1.8633846908412846E-8</v>
      </c>
      <c r="AJ6" s="5">
        <f>(Z6*J6/1000)+(AE6*K6/1000)</f>
        <v>1.113513376890869E-3</v>
      </c>
      <c r="AK6" s="5">
        <f>AF6/K6*1000</f>
        <v>2.2547767867239402E-2</v>
      </c>
      <c r="AL6" s="5">
        <f>AG6/K6*1000</f>
        <v>3.9942607902663441</v>
      </c>
      <c r="AM6" s="5">
        <f>AH6/K6*1000</f>
        <v>0.36199838406046481</v>
      </c>
      <c r="AN6" s="5">
        <f>AI6/K6*1000</f>
        <v>3.809044748244654E-6</v>
      </c>
      <c r="AO6" s="5">
        <f>AJ6/K6*1000</f>
        <v>0.22761925120418419</v>
      </c>
      <c r="AP6" s="5"/>
      <c r="AQ6" s="5"/>
      <c r="AR6" s="5"/>
      <c r="AS6" s="5"/>
      <c r="AT6" s="5"/>
      <c r="BF6" t="s">
        <v>134</v>
      </c>
      <c r="BG6" s="12">
        <v>1.9999999999999929</v>
      </c>
      <c r="BH6">
        <v>6.448683158157725E-3</v>
      </c>
      <c r="BI6" s="10"/>
    </row>
    <row r="7" spans="2:61" s="4" customFormat="1" x14ac:dyDescent="0.25">
      <c r="B7" s="4" t="s">
        <v>90</v>
      </c>
      <c r="C7" s="5" t="s">
        <v>41</v>
      </c>
      <c r="D7" s="5"/>
      <c r="E7" s="5"/>
      <c r="F7" s="7">
        <v>0.40833333333333338</v>
      </c>
      <c r="G7" s="8">
        <v>9.8374000000000006</v>
      </c>
      <c r="H7" s="8">
        <v>18.781199999999998</v>
      </c>
      <c r="I7" s="8">
        <v>14.6541</v>
      </c>
      <c r="J7" s="8">
        <f t="shared" ref="J7:J36" si="1">H7-I7</f>
        <v>4.1270999999999987</v>
      </c>
      <c r="K7" s="8">
        <f t="shared" ref="K7:K36" si="2">I7-G7</f>
        <v>4.8166999999999991</v>
      </c>
      <c r="L7" s="15">
        <v>181688</v>
      </c>
      <c r="M7" s="15">
        <v>40665</v>
      </c>
      <c r="N7" s="15">
        <v>10253954</v>
      </c>
      <c r="O7" s="15">
        <v>196444</v>
      </c>
      <c r="P7" s="15">
        <v>2280236</v>
      </c>
      <c r="Q7" s="5">
        <f t="shared" ref="Q7:Q36" si="3">(L7+41130)/9817.1</f>
        <v>22.696926791007527</v>
      </c>
      <c r="R7" s="5">
        <f t="shared" ref="R7:R36" si="4">(M7-895.67)/4.4253</f>
        <v>8986.8099337898002</v>
      </c>
      <c r="S7" s="5">
        <f t="shared" ref="S7:S36" si="5">(N7-135841)/69413</f>
        <v>145.76683042081456</v>
      </c>
      <c r="T7" s="5">
        <f t="shared" si="0"/>
        <v>8.8577600000000012E-4</v>
      </c>
      <c r="U7" s="5">
        <f t="shared" ref="U7:U36" si="6">(P7+4076.7)/5248.6</f>
        <v>435.22324048317648</v>
      </c>
      <c r="V7" s="5">
        <f t="shared" ref="V7:V36" si="7">Q7/1000*1.2381</f>
        <v>2.8101065059946417E-2</v>
      </c>
      <c r="W7" s="5">
        <f t="shared" ref="W7:W36" si="8">R7/1000*1.64^-1</f>
        <v>5.4797621547498778</v>
      </c>
      <c r="X7" s="5">
        <f t="shared" ref="X7:X36" si="9">S7/1000*1.8084</f>
        <v>0.26360473613300106</v>
      </c>
      <c r="Y7" s="5">
        <f t="shared" ref="Y7:Y36" si="10">T7/1000*6.0383</f>
        <v>5.3485812208000006E-6</v>
      </c>
      <c r="Z7" s="5">
        <f t="shared" ref="Z7:Z36" si="11">U7/1000*6.57*10^-1</f>
        <v>0.285941668997447</v>
      </c>
      <c r="AA7" s="5">
        <f t="shared" ref="AA7:AA36" si="12">(Q7/1000000)*0.0019*30.07*1000</f>
        <v>1.2967435183506332E-3</v>
      </c>
      <c r="AB7" s="5">
        <f t="shared" ref="AB7:AB36" si="13">(R7/1000000)*0.00037*4*1000</f>
        <v>1.3300478702008905E-2</v>
      </c>
      <c r="AC7" s="5">
        <f t="shared" ref="AC7:AC36" si="14">(S7/1000000)*0.0245*44.01*1000</f>
        <v>0.15717235606709121</v>
      </c>
      <c r="AD7" s="5">
        <f t="shared" ref="AD7:AD36" si="15">(T7/1000000)*0.00024*146.06*1000</f>
        <v>3.1050346214400001E-8</v>
      </c>
      <c r="AE7" s="5">
        <f t="shared" ref="AE7:AE36" si="16">(U7/1000000)*0.0015*16.04*1000</f>
        <v>1.0471471166025226E-2</v>
      </c>
      <c r="AF7" s="5">
        <f t="shared" ref="AF7:AF36" si="17">(V7*J7/1000)+(AA7*K7/1000)</f>
        <v>1.2222193011374432E-4</v>
      </c>
      <c r="AG7" s="5">
        <f t="shared" ref="AG7:AG36" si="18">(W7*J7/1000)+(AB7*K7/1000)</f>
        <v>2.2679590804632183E-2</v>
      </c>
      <c r="AH7" s="5">
        <f t="shared" ref="AH7:AH36" si="19">(X7*J7/1000)+(AC7*K7/1000)</f>
        <v>1.8449751939628664E-3</v>
      </c>
      <c r="AI7" s="5">
        <f t="shared" ref="AI7:AI36" si="20">(Y7*J7/1000)+(AD7*K7/1000)</f>
        <v>2.2223689758974576E-8</v>
      </c>
      <c r="AJ7" s="5">
        <f t="shared" ref="AJ7:AJ36" si="21">(Z7*J7/1000)+(AE7*K7/1000)</f>
        <v>1.2305477972847567E-3</v>
      </c>
      <c r="AK7" s="5">
        <f t="shared" ref="AK7:AK36" si="22">AF7/K7*1000</f>
        <v>2.5374619576420444E-2</v>
      </c>
      <c r="AL7" s="5">
        <f t="shared" ref="AL7:AL36" si="23">AG7/K7*1000</f>
        <v>4.7085329799722198</v>
      </c>
      <c r="AM7" s="5">
        <f t="shared" ref="AM7:AM36" si="24">AH7/K7*1000</f>
        <v>0.38303718188030533</v>
      </c>
      <c r="AN7" s="5">
        <f t="shared" ref="AN7:AN36" si="25">AI7/K7*1000</f>
        <v>4.6138828988673943E-6</v>
      </c>
      <c r="AO7" s="5">
        <f t="shared" ref="AO7:AO36" si="26">AJ7/K7*1000</f>
        <v>0.25547528334435543</v>
      </c>
      <c r="AP7" s="5"/>
      <c r="AQ7" s="5"/>
      <c r="AR7" s="5"/>
      <c r="AS7" s="5"/>
      <c r="AT7" s="5"/>
      <c r="BF7" t="s">
        <v>121</v>
      </c>
      <c r="BG7" s="12">
        <v>10</v>
      </c>
      <c r="BH7">
        <v>0</v>
      </c>
      <c r="BI7" s="10"/>
    </row>
    <row r="8" spans="2:61" s="4" customFormat="1" x14ac:dyDescent="0.25">
      <c r="B8" s="4" t="s">
        <v>91</v>
      </c>
      <c r="C8" s="5" t="s">
        <v>42</v>
      </c>
      <c r="D8" s="5"/>
      <c r="E8" s="5"/>
      <c r="F8" s="7">
        <v>0.40902777777777777</v>
      </c>
      <c r="G8" s="8">
        <v>10.0548</v>
      </c>
      <c r="H8" s="8">
        <v>19.0078</v>
      </c>
      <c r="I8" s="8">
        <v>14.7235</v>
      </c>
      <c r="J8" s="8">
        <f t="shared" si="1"/>
        <v>4.2843</v>
      </c>
      <c r="K8" s="8">
        <f t="shared" si="2"/>
        <v>4.6686999999999994</v>
      </c>
      <c r="L8" s="15">
        <v>184958</v>
      </c>
      <c r="M8" s="15">
        <v>37888</v>
      </c>
      <c r="N8" s="15">
        <v>10279271</v>
      </c>
      <c r="O8" s="15">
        <v>190992</v>
      </c>
      <c r="P8" s="15">
        <v>2256247</v>
      </c>
      <c r="Q8" s="5">
        <f t="shared" si="3"/>
        <v>23.030019048395147</v>
      </c>
      <c r="R8" s="5">
        <f t="shared" si="4"/>
        <v>8359.2818565972939</v>
      </c>
      <c r="S8" s="5">
        <f t="shared" si="5"/>
        <v>146.13156037053577</v>
      </c>
      <c r="T8" s="5">
        <f t="shared" si="0"/>
        <v>8.6396800000000011E-4</v>
      </c>
      <c r="U8" s="5">
        <f t="shared" si="6"/>
        <v>430.65268833593723</v>
      </c>
      <c r="V8" s="5">
        <f t="shared" si="7"/>
        <v>2.8513466583818033E-2</v>
      </c>
      <c r="W8" s="5">
        <f t="shared" si="8"/>
        <v>5.0971230832910326</v>
      </c>
      <c r="X8" s="5">
        <f t="shared" si="9"/>
        <v>0.26426431377407689</v>
      </c>
      <c r="Y8" s="5">
        <f t="shared" si="10"/>
        <v>5.2168979743999999E-6</v>
      </c>
      <c r="Z8" s="5">
        <f t="shared" si="11"/>
        <v>0.28293881623671074</v>
      </c>
      <c r="AA8" s="5">
        <f t="shared" si="12"/>
        <v>1.31577407829196E-3</v>
      </c>
      <c r="AB8" s="5">
        <f t="shared" si="13"/>
        <v>1.2371737147763996E-2</v>
      </c>
      <c r="AC8" s="5">
        <f t="shared" si="14"/>
        <v>0.15756562431172833</v>
      </c>
      <c r="AD8" s="5">
        <f t="shared" si="15"/>
        <v>3.0285879859200002E-8</v>
      </c>
      <c r="AE8" s="5">
        <f t="shared" si="16"/>
        <v>1.0361503681362651E-2</v>
      </c>
      <c r="AF8" s="5">
        <f t="shared" si="17"/>
        <v>1.2830319932437327E-4</v>
      </c>
      <c r="AG8" s="5">
        <f t="shared" si="18"/>
        <v>2.1895364354965537E-2</v>
      </c>
      <c r="AH8" s="5">
        <f t="shared" si="19"/>
        <v>1.8678142297264438E-3</v>
      </c>
      <c r="AI8" s="5">
        <f t="shared" si="20"/>
        <v>2.2492151679020566E-8</v>
      </c>
      <c r="AJ8" s="5">
        <f t="shared" si="21"/>
        <v>1.2605695226401176E-3</v>
      </c>
      <c r="AK8" s="5">
        <f t="shared" si="22"/>
        <v>2.7481568600332702E-2</v>
      </c>
      <c r="AL8" s="5">
        <f t="shared" si="23"/>
        <v>4.6898203686177178</v>
      </c>
      <c r="AM8" s="5">
        <f t="shared" si="24"/>
        <v>0.40007158946311477</v>
      </c>
      <c r="AN8" s="5">
        <f t="shared" si="25"/>
        <v>4.817647670447998E-6</v>
      </c>
      <c r="AO8" s="5">
        <f t="shared" si="26"/>
        <v>0.27000439579328672</v>
      </c>
      <c r="AP8" s="5"/>
      <c r="AQ8" s="5"/>
      <c r="AR8" s="5"/>
      <c r="AS8" s="5"/>
      <c r="AT8" s="5"/>
      <c r="BF8" t="s">
        <v>135</v>
      </c>
      <c r="BG8" s="12">
        <v>21.000000000000085</v>
      </c>
      <c r="BH8">
        <v>5.807586002083566E-3</v>
      </c>
      <c r="BI8" s="10"/>
    </row>
    <row r="9" spans="2:61" x14ac:dyDescent="0.25">
      <c r="B9" s="10" t="s">
        <v>92</v>
      </c>
      <c r="C9" s="14" t="s">
        <v>133</v>
      </c>
      <c r="D9" s="14"/>
      <c r="E9" s="14"/>
      <c r="F9" s="9">
        <v>0.39999999999999997</v>
      </c>
      <c r="G9" s="11">
        <v>9.8617000000000008</v>
      </c>
      <c r="H9" s="11">
        <v>18.949100000000001</v>
      </c>
      <c r="I9" s="11">
        <v>14.699400000000001</v>
      </c>
      <c r="J9" s="11">
        <f t="shared" si="1"/>
        <v>4.2497000000000007</v>
      </c>
      <c r="K9" s="11">
        <f t="shared" si="2"/>
        <v>4.8376999999999999</v>
      </c>
      <c r="L9" s="10" t="s">
        <v>1</v>
      </c>
      <c r="M9" s="17" t="s">
        <v>1</v>
      </c>
      <c r="N9" s="17">
        <v>69714</v>
      </c>
      <c r="O9" s="10" t="s">
        <v>1</v>
      </c>
      <c r="P9" s="17">
        <v>26029</v>
      </c>
      <c r="Q9" s="14">
        <v>0</v>
      </c>
      <c r="R9" s="14">
        <v>0</v>
      </c>
      <c r="S9" s="14">
        <v>0</v>
      </c>
      <c r="T9" s="14">
        <v>0</v>
      </c>
      <c r="U9" s="14">
        <f t="shared" si="6"/>
        <v>5.7359486339214261</v>
      </c>
      <c r="V9" s="14">
        <f t="shared" si="7"/>
        <v>0</v>
      </c>
      <c r="W9" s="14">
        <f t="shared" si="8"/>
        <v>0</v>
      </c>
      <c r="X9" s="14">
        <f t="shared" si="9"/>
        <v>0</v>
      </c>
      <c r="Y9" s="14">
        <f t="shared" si="10"/>
        <v>0</v>
      </c>
      <c r="Z9" s="14">
        <f t="shared" si="11"/>
        <v>3.7685182524863771E-3</v>
      </c>
      <c r="AA9" s="14">
        <f t="shared" si="12"/>
        <v>0</v>
      </c>
      <c r="AB9" s="14">
        <f t="shared" si="13"/>
        <v>0</v>
      </c>
      <c r="AC9" s="14">
        <f t="shared" si="14"/>
        <v>0</v>
      </c>
      <c r="AD9" s="14">
        <f t="shared" si="15"/>
        <v>0</v>
      </c>
      <c r="AE9" s="14">
        <f t="shared" si="16"/>
        <v>1.3800692413214953E-4</v>
      </c>
      <c r="AF9" s="14">
        <f t="shared" si="17"/>
        <v>0</v>
      </c>
      <c r="AG9" s="14">
        <f t="shared" si="18"/>
        <v>0</v>
      </c>
      <c r="AH9" s="14">
        <f t="shared" si="19"/>
        <v>0</v>
      </c>
      <c r="AI9" s="14">
        <f t="shared" si="20"/>
        <v>0</v>
      </c>
      <c r="AJ9" s="14">
        <f t="shared" si="21"/>
        <v>1.6682708114465462E-5</v>
      </c>
      <c r="AK9" s="14">
        <f t="shared" si="22"/>
        <v>0</v>
      </c>
      <c r="AL9" s="14">
        <f t="shared" si="23"/>
        <v>0</v>
      </c>
      <c r="AM9" s="14">
        <f t="shared" si="24"/>
        <v>0</v>
      </c>
      <c r="AN9" s="14">
        <f t="shared" si="25"/>
        <v>0</v>
      </c>
      <c r="AO9" s="14">
        <f t="shared" si="26"/>
        <v>3.4484792596617114E-3</v>
      </c>
      <c r="AP9" s="14"/>
      <c r="AQ9" s="14"/>
      <c r="AR9" s="14"/>
      <c r="AS9" s="14"/>
      <c r="AT9" s="14"/>
      <c r="AU9" s="10">
        <f>AVERAGE(AK6:AK8)</f>
        <v>2.513465201466418E-2</v>
      </c>
      <c r="AV9" s="10">
        <f t="shared" ref="AV9:AY9" si="27">AVERAGE(AL6:AL8)</f>
        <v>4.4642047129520934</v>
      </c>
      <c r="AW9" s="10">
        <f t="shared" si="27"/>
        <v>0.38170238513462834</v>
      </c>
      <c r="AX9" s="10">
        <f t="shared" si="27"/>
        <v>4.4135251058533485E-6</v>
      </c>
      <c r="AY9" s="10">
        <f t="shared" si="27"/>
        <v>0.25103297678060876</v>
      </c>
      <c r="BF9" t="s">
        <v>122</v>
      </c>
      <c r="BG9" s="12">
        <v>30</v>
      </c>
      <c r="BH9">
        <v>6.9012223271512499E-3</v>
      </c>
    </row>
    <row r="10" spans="2:61" x14ac:dyDescent="0.25">
      <c r="B10" s="10" t="s">
        <v>93</v>
      </c>
      <c r="C10" s="14" t="s">
        <v>48</v>
      </c>
      <c r="D10" s="14"/>
      <c r="E10" s="14"/>
      <c r="F10" s="9">
        <v>0.40069444444444446</v>
      </c>
      <c r="G10" s="11">
        <v>10.004099999999999</v>
      </c>
      <c r="H10" s="11">
        <v>19.260300000000001</v>
      </c>
      <c r="I10" s="11">
        <v>15.1592</v>
      </c>
      <c r="J10" s="11">
        <f t="shared" si="1"/>
        <v>4.1011000000000006</v>
      </c>
      <c r="K10" s="11">
        <f t="shared" si="2"/>
        <v>5.1551000000000009</v>
      </c>
      <c r="L10" s="10" t="s">
        <v>1</v>
      </c>
      <c r="M10" s="17" t="s">
        <v>1</v>
      </c>
      <c r="N10" s="17">
        <v>61086</v>
      </c>
      <c r="O10" s="10" t="s">
        <v>1</v>
      </c>
      <c r="P10" s="17">
        <v>25748</v>
      </c>
      <c r="Q10" s="14">
        <v>0</v>
      </c>
      <c r="R10" s="14">
        <v>0</v>
      </c>
      <c r="S10" s="14">
        <v>0</v>
      </c>
      <c r="T10" s="14">
        <v>0</v>
      </c>
      <c r="U10" s="14">
        <f t="shared" si="6"/>
        <v>5.682410547574591</v>
      </c>
      <c r="V10" s="14">
        <f t="shared" si="7"/>
        <v>0</v>
      </c>
      <c r="W10" s="14">
        <f t="shared" si="8"/>
        <v>0</v>
      </c>
      <c r="X10" s="14">
        <f t="shared" si="9"/>
        <v>0</v>
      </c>
      <c r="Y10" s="14">
        <f t="shared" si="10"/>
        <v>0</v>
      </c>
      <c r="Z10" s="14">
        <f t="shared" si="11"/>
        <v>3.733343729756507E-3</v>
      </c>
      <c r="AA10" s="14">
        <f t="shared" si="12"/>
        <v>0</v>
      </c>
      <c r="AB10" s="14">
        <f t="shared" si="13"/>
        <v>0</v>
      </c>
      <c r="AC10" s="14">
        <f t="shared" si="14"/>
        <v>0</v>
      </c>
      <c r="AD10" s="14">
        <f t="shared" si="15"/>
        <v>0</v>
      </c>
      <c r="AE10" s="14">
        <f t="shared" si="16"/>
        <v>1.3671879777464466E-4</v>
      </c>
      <c r="AF10" s="14">
        <f t="shared" si="17"/>
        <v>0</v>
      </c>
      <c r="AG10" s="14">
        <f t="shared" si="18"/>
        <v>0</v>
      </c>
      <c r="AH10" s="14">
        <f t="shared" si="19"/>
        <v>0</v>
      </c>
      <c r="AI10" s="14">
        <f t="shared" si="20"/>
        <v>0</v>
      </c>
      <c r="AJ10" s="14">
        <f t="shared" si="21"/>
        <v>1.6015615044512483E-5</v>
      </c>
      <c r="AK10" s="14">
        <f t="shared" si="22"/>
        <v>0</v>
      </c>
      <c r="AL10" s="14">
        <f t="shared" si="23"/>
        <v>0</v>
      </c>
      <c r="AM10" s="14">
        <f t="shared" si="24"/>
        <v>0</v>
      </c>
      <c r="AN10" s="14">
        <f t="shared" si="25"/>
        <v>0</v>
      </c>
      <c r="AO10" s="14">
        <f t="shared" si="26"/>
        <v>3.1067515750446122E-3</v>
      </c>
      <c r="AP10" s="14"/>
      <c r="AQ10" s="14"/>
      <c r="AR10" s="14"/>
      <c r="AS10" s="14"/>
      <c r="AT10" s="14"/>
      <c r="BF10" t="s">
        <v>136</v>
      </c>
      <c r="BG10" s="12">
        <v>41.000000000000014</v>
      </c>
      <c r="BH10">
        <v>8.7616611330135191E-3</v>
      </c>
    </row>
    <row r="11" spans="2:61" x14ac:dyDescent="0.25">
      <c r="B11" s="10" t="s">
        <v>94</v>
      </c>
      <c r="C11" s="14" t="s">
        <v>120</v>
      </c>
      <c r="D11" s="14"/>
      <c r="E11" s="14"/>
      <c r="F11" s="9">
        <v>0.40138888888888885</v>
      </c>
      <c r="G11" s="11">
        <v>9.8416999999999994</v>
      </c>
      <c r="H11" s="11">
        <v>18.9163</v>
      </c>
      <c r="I11" s="11">
        <v>14.841699999999999</v>
      </c>
      <c r="J11" s="11">
        <f t="shared" si="1"/>
        <v>4.0746000000000002</v>
      </c>
      <c r="K11" s="11">
        <f t="shared" si="2"/>
        <v>5</v>
      </c>
      <c r="L11" s="10" t="s">
        <v>1</v>
      </c>
      <c r="M11" s="17" t="s">
        <v>1</v>
      </c>
      <c r="N11" s="17">
        <v>39871</v>
      </c>
      <c r="O11" s="10" t="s">
        <v>1</v>
      </c>
      <c r="P11" s="17">
        <v>26588</v>
      </c>
      <c r="Q11" s="14">
        <v>0</v>
      </c>
      <c r="R11" s="14">
        <v>0</v>
      </c>
      <c r="S11" s="14">
        <v>0</v>
      </c>
      <c r="T11" s="14">
        <v>0</v>
      </c>
      <c r="U11" s="14">
        <f t="shared" si="6"/>
        <v>5.8424532256220703</v>
      </c>
      <c r="V11" s="14">
        <f t="shared" si="7"/>
        <v>0</v>
      </c>
      <c r="W11" s="14">
        <f t="shared" si="8"/>
        <v>0</v>
      </c>
      <c r="X11" s="14">
        <f t="shared" si="9"/>
        <v>0</v>
      </c>
      <c r="Y11" s="14">
        <f t="shared" si="10"/>
        <v>0</v>
      </c>
      <c r="Z11" s="14">
        <f t="shared" si="11"/>
        <v>3.8384917692337005E-3</v>
      </c>
      <c r="AA11" s="14">
        <f t="shared" si="12"/>
        <v>0</v>
      </c>
      <c r="AB11" s="14">
        <f t="shared" si="13"/>
        <v>0</v>
      </c>
      <c r="AC11" s="14">
        <f t="shared" si="14"/>
        <v>0</v>
      </c>
      <c r="AD11" s="14">
        <f t="shared" si="15"/>
        <v>0</v>
      </c>
      <c r="AE11" s="14">
        <f t="shared" si="16"/>
        <v>1.4056942460846699E-4</v>
      </c>
      <c r="AF11" s="14">
        <f t="shared" si="17"/>
        <v>0</v>
      </c>
      <c r="AG11" s="14">
        <f t="shared" si="18"/>
        <v>0</v>
      </c>
      <c r="AH11" s="14">
        <f t="shared" si="19"/>
        <v>0</v>
      </c>
      <c r="AI11" s="14">
        <f t="shared" si="20"/>
        <v>0</v>
      </c>
      <c r="AJ11" s="14">
        <f t="shared" si="21"/>
        <v>1.6343165685961972E-5</v>
      </c>
      <c r="AK11" s="14">
        <f t="shared" si="22"/>
        <v>0</v>
      </c>
      <c r="AL11" s="14">
        <f t="shared" si="23"/>
        <v>0</v>
      </c>
      <c r="AM11" s="14">
        <f t="shared" si="24"/>
        <v>0</v>
      </c>
      <c r="AN11" s="14">
        <f t="shared" si="25"/>
        <v>0</v>
      </c>
      <c r="AO11" s="14">
        <f t="shared" si="26"/>
        <v>3.2686331371923946E-3</v>
      </c>
      <c r="AP11" s="14"/>
      <c r="AQ11" s="14"/>
      <c r="AR11" s="14"/>
      <c r="AS11" s="14"/>
      <c r="AT11" s="14"/>
      <c r="BF11" t="s">
        <v>123</v>
      </c>
      <c r="BG11" s="12">
        <v>50</v>
      </c>
      <c r="BH11">
        <v>1.7146206291865768E-2</v>
      </c>
    </row>
    <row r="12" spans="2:61" x14ac:dyDescent="0.25">
      <c r="B12" s="10" t="s">
        <v>95</v>
      </c>
      <c r="C12" s="14" t="s">
        <v>117</v>
      </c>
      <c r="D12" s="12">
        <f>E12*1440</f>
        <v>1.9999999999999929</v>
      </c>
      <c r="E12" s="9">
        <f>F12-$F$3</f>
        <v>1.388888888888884E-3</v>
      </c>
      <c r="F12" s="9">
        <v>0.4145833333333333</v>
      </c>
      <c r="G12" s="11">
        <v>9.9512</v>
      </c>
      <c r="H12" s="11">
        <v>19.063400000000001</v>
      </c>
      <c r="I12" s="11">
        <v>14.9284</v>
      </c>
      <c r="J12" s="11">
        <f t="shared" si="1"/>
        <v>4.1350000000000016</v>
      </c>
      <c r="K12" s="11">
        <f t="shared" si="2"/>
        <v>4.9771999999999998</v>
      </c>
      <c r="L12" s="10" t="s">
        <v>1</v>
      </c>
      <c r="M12" s="17" t="s">
        <v>1</v>
      </c>
      <c r="N12" s="17">
        <v>68299</v>
      </c>
      <c r="O12" s="10" t="s">
        <v>1</v>
      </c>
      <c r="P12" s="17">
        <v>22494</v>
      </c>
      <c r="Q12" s="14">
        <v>0</v>
      </c>
      <c r="R12" s="14">
        <v>0</v>
      </c>
      <c r="S12" s="14">
        <v>0</v>
      </c>
      <c r="T12" s="14">
        <v>0</v>
      </c>
      <c r="U12" s="14">
        <f t="shared" si="6"/>
        <v>5.0624356971382847</v>
      </c>
      <c r="V12" s="14">
        <f t="shared" si="7"/>
        <v>0</v>
      </c>
      <c r="W12" s="14">
        <f t="shared" si="8"/>
        <v>0</v>
      </c>
      <c r="X12" s="14">
        <f t="shared" si="9"/>
        <v>0</v>
      </c>
      <c r="Y12" s="14">
        <f t="shared" si="10"/>
        <v>0</v>
      </c>
      <c r="Z12" s="14">
        <f t="shared" si="11"/>
        <v>3.3260202530198527E-3</v>
      </c>
      <c r="AA12" s="14">
        <f t="shared" si="12"/>
        <v>0</v>
      </c>
      <c r="AB12" s="14">
        <f t="shared" si="13"/>
        <v>0</v>
      </c>
      <c r="AC12" s="14">
        <f t="shared" si="14"/>
        <v>0</v>
      </c>
      <c r="AD12" s="14">
        <f t="shared" si="15"/>
        <v>0</v>
      </c>
      <c r="AE12" s="14">
        <f t="shared" si="16"/>
        <v>1.2180220287314711E-4</v>
      </c>
      <c r="AF12" s="14">
        <f t="shared" si="17"/>
        <v>0</v>
      </c>
      <c r="AG12" s="14">
        <f t="shared" si="18"/>
        <v>0</v>
      </c>
      <c r="AH12" s="14">
        <f t="shared" si="19"/>
        <v>0</v>
      </c>
      <c r="AI12" s="14">
        <f t="shared" si="20"/>
        <v>0</v>
      </c>
      <c r="AJ12" s="14">
        <f t="shared" si="21"/>
        <v>1.4359327670377323E-5</v>
      </c>
      <c r="AK12" s="14">
        <f t="shared" si="22"/>
        <v>0</v>
      </c>
      <c r="AL12" s="14">
        <f t="shared" si="23"/>
        <v>0</v>
      </c>
      <c r="AM12" s="14">
        <f t="shared" si="24"/>
        <v>0</v>
      </c>
      <c r="AN12" s="14">
        <f t="shared" si="25"/>
        <v>0</v>
      </c>
      <c r="AO12" s="14">
        <f t="shared" si="26"/>
        <v>2.8850212308883152E-3</v>
      </c>
      <c r="AP12" s="14">
        <f t="shared" ref="AP12:AP13" si="28">AK12-(AVERAGE($AK$9:$AK$11))</f>
        <v>0</v>
      </c>
      <c r="AQ12" s="14">
        <f t="shared" ref="AQ12:AQ36" si="29">IF(AL12-(AVERAGE($AL$9:$AL$11))&lt;0,0,AL12-(AVERAGE($AL$9:$AL$11)))</f>
        <v>0</v>
      </c>
      <c r="AR12" s="14">
        <f t="shared" ref="AR12:AR13" si="30">IF(AM12-(AVERAGE($AM$9:$AM$11))&lt;0,0,AM12-(AVERAGE($AM$9:$AM$11)))</f>
        <v>0</v>
      </c>
      <c r="AS12" s="14">
        <f t="shared" ref="AS12:AS36" si="31">IF(AN12-(AVERAGE($AN$9:$AN$11))&lt;0,0,AN12-(AVERAGE($AN$9:$AN$11)))</f>
        <v>0</v>
      </c>
      <c r="AT12" s="14">
        <f>IF(AO12-(AVERAGE($AO$9:$AO$11))&lt;0,0,AO12-(AVERAGE($AO$9:$AO$11)))</f>
        <v>0</v>
      </c>
      <c r="AU12" s="10">
        <f>$AU$9+(($AU$22-$AU$9)/($D$22))*D12</f>
        <v>2.5130501728913793E-2</v>
      </c>
      <c r="AV12" s="10">
        <f>$AV$9+(($AV$22-$AV$9)/($D$22))*D12</f>
        <v>4.4597225370137741</v>
      </c>
      <c r="AW12" s="10">
        <f>$AW$9+(($AW$22-$AW$9)/($D$22))*D12</f>
        <v>0.38181826224508325</v>
      </c>
      <c r="AX12" s="10">
        <f>$AX$9+(($AX$22-$AX$9)/($D$22))*D12</f>
        <v>4.4238122176331576E-6</v>
      </c>
      <c r="AY12" s="10">
        <f>$AY$9+(($AY$22-$AY$9)/($D$22))*D12</f>
        <v>0.25126656625781418</v>
      </c>
      <c r="AZ12" s="10">
        <f t="shared" ref="AZ12:AZ16" si="32">AP12/AU12</f>
        <v>0</v>
      </c>
      <c r="BA12" s="10">
        <f t="shared" ref="BA12:BA16" si="33">AQ12/AV12</f>
        <v>0</v>
      </c>
      <c r="BB12" s="10">
        <f t="shared" ref="BB12:BB36" si="34">AR12/AW12</f>
        <v>0</v>
      </c>
      <c r="BC12" s="10">
        <f t="shared" ref="BC12" si="35">AS12/AX12</f>
        <v>0</v>
      </c>
      <c r="BD12" s="10">
        <f t="shared" ref="BD12:BD36" si="36">AT12/AY12</f>
        <v>0</v>
      </c>
      <c r="BF12" t="s">
        <v>137</v>
      </c>
      <c r="BG12" s="12">
        <v>61.000000000000021</v>
      </c>
      <c r="BH12">
        <v>3.9634888884349538E-2</v>
      </c>
    </row>
    <row r="13" spans="2:61" x14ac:dyDescent="0.25">
      <c r="B13" s="10" t="s">
        <v>96</v>
      </c>
      <c r="C13" s="14" t="s">
        <v>117</v>
      </c>
      <c r="D13" s="12">
        <f t="shared" ref="D13:D36" si="37">E13*1440</f>
        <v>21.000000000000085</v>
      </c>
      <c r="E13" s="9">
        <f t="shared" ref="E13:E16" si="38">F13-$F$3</f>
        <v>1.4583333333333393E-2</v>
      </c>
      <c r="F13" s="9">
        <v>0.42777777777777781</v>
      </c>
      <c r="G13" s="11">
        <v>9.9671000000000003</v>
      </c>
      <c r="H13" s="11">
        <v>18.8507</v>
      </c>
      <c r="I13" s="11">
        <v>14.714700000000001</v>
      </c>
      <c r="J13" s="11">
        <f t="shared" si="1"/>
        <v>4.1359999999999992</v>
      </c>
      <c r="K13" s="11">
        <f t="shared" si="2"/>
        <v>4.7476000000000003</v>
      </c>
      <c r="L13" s="10" t="s">
        <v>1</v>
      </c>
      <c r="M13" s="17" t="s">
        <v>1</v>
      </c>
      <c r="N13" s="17">
        <v>112718</v>
      </c>
      <c r="O13" s="10" t="s">
        <v>1</v>
      </c>
      <c r="P13" s="17">
        <v>28891</v>
      </c>
      <c r="Q13" s="14">
        <v>0</v>
      </c>
      <c r="R13" s="14">
        <v>0</v>
      </c>
      <c r="S13" s="14">
        <v>0</v>
      </c>
      <c r="T13" s="14">
        <v>0</v>
      </c>
      <c r="U13" s="14">
        <f t="shared" si="6"/>
        <v>6.2812369012689091</v>
      </c>
      <c r="V13" s="14">
        <f t="shared" si="7"/>
        <v>0</v>
      </c>
      <c r="W13" s="14">
        <f t="shared" si="8"/>
        <v>0</v>
      </c>
      <c r="X13" s="14">
        <f t="shared" si="9"/>
        <v>0</v>
      </c>
      <c r="Y13" s="14">
        <f t="shared" si="10"/>
        <v>0</v>
      </c>
      <c r="Z13" s="14">
        <f t="shared" si="11"/>
        <v>4.1267726441336734E-3</v>
      </c>
      <c r="AA13" s="14">
        <f t="shared" si="12"/>
        <v>0</v>
      </c>
      <c r="AB13" s="14">
        <f t="shared" si="13"/>
        <v>0</v>
      </c>
      <c r="AC13" s="14">
        <f t="shared" si="14"/>
        <v>0</v>
      </c>
      <c r="AD13" s="14">
        <f t="shared" si="15"/>
        <v>0</v>
      </c>
      <c r="AE13" s="14">
        <f t="shared" si="16"/>
        <v>1.5112655984452996E-4</v>
      </c>
      <c r="AF13" s="14">
        <f t="shared" si="17"/>
        <v>0</v>
      </c>
      <c r="AG13" s="14">
        <f t="shared" si="18"/>
        <v>0</v>
      </c>
      <c r="AH13" s="14">
        <f t="shared" si="19"/>
        <v>0</v>
      </c>
      <c r="AI13" s="14">
        <f t="shared" si="20"/>
        <v>0</v>
      </c>
      <c r="AJ13" s="14">
        <f t="shared" si="21"/>
        <v>1.7785820111654761E-5</v>
      </c>
      <c r="AK13" s="14">
        <f t="shared" si="22"/>
        <v>0</v>
      </c>
      <c r="AL13" s="14">
        <f t="shared" si="23"/>
        <v>0</v>
      </c>
      <c r="AM13" s="14">
        <f t="shared" si="24"/>
        <v>0</v>
      </c>
      <c r="AN13" s="14">
        <f t="shared" si="25"/>
        <v>0</v>
      </c>
      <c r="AO13" s="14">
        <f t="shared" si="26"/>
        <v>3.7462760366616314E-3</v>
      </c>
      <c r="AP13" s="14">
        <f t="shared" si="28"/>
        <v>0</v>
      </c>
      <c r="AQ13" s="14">
        <f t="shared" si="29"/>
        <v>0</v>
      </c>
      <c r="AR13" s="14">
        <f t="shared" si="30"/>
        <v>0</v>
      </c>
      <c r="AS13" s="14">
        <f t="shared" si="31"/>
        <v>0</v>
      </c>
      <c r="AT13" s="14">
        <f t="shared" ref="AT13:AT19" si="39">IF(AO13-(AVERAGE($AO$9:$AO$11))&lt;0,0,AO13-(AVERAGE($AO$9:$AO$11)))</f>
        <v>4.7165471269539202E-4</v>
      </c>
      <c r="AU13" s="10">
        <f t="shared" ref="AU13:AU21" si="40">$AU$9+(($AU$22-$AU$9)/($D$22))*D13</f>
        <v>2.5091074014285127E-2</v>
      </c>
      <c r="AV13" s="10">
        <f t="shared" ref="AV13:AV21" si="41">$AV$9+(($AV$22-$AV$9)/($D$22))*D13</f>
        <v>4.4171418655997448</v>
      </c>
      <c r="AW13" s="10">
        <f t="shared" ref="AW13:AW21" si="42">$AW$9+(($AW$22-$AW$9)/($D$22))*D13</f>
        <v>0.38291909479440467</v>
      </c>
      <c r="AX13" s="10">
        <f t="shared" ref="AX13:AX21" si="43">$AX$9+(($AX$22-$AX$9)/($D$22))*D13</f>
        <v>4.5215397795413466E-6</v>
      </c>
      <c r="AY13" s="10">
        <f t="shared" ref="AY13:AY21" si="44">$AY$9+(($AY$22-$AY$9)/($D$22))*D13</f>
        <v>0.25348566629126545</v>
      </c>
      <c r="AZ13" s="10">
        <f t="shared" si="32"/>
        <v>0</v>
      </c>
      <c r="BA13" s="10">
        <f t="shared" si="33"/>
        <v>0</v>
      </c>
      <c r="BB13" s="10">
        <f t="shared" si="34"/>
        <v>0</v>
      </c>
      <c r="BC13" s="10">
        <f t="shared" ref="BC13:BC27" si="45">AS13/AX13</f>
        <v>0</v>
      </c>
      <c r="BD13" s="10">
        <f t="shared" si="36"/>
        <v>1.8606760673932599E-3</v>
      </c>
      <c r="BF13" t="s">
        <v>124</v>
      </c>
      <c r="BG13" s="12">
        <v>70</v>
      </c>
      <c r="BH13">
        <v>8.2073006509964505E-2</v>
      </c>
    </row>
    <row r="14" spans="2:61" x14ac:dyDescent="0.25">
      <c r="B14" s="10" t="s">
        <v>97</v>
      </c>
      <c r="C14" s="14" t="s">
        <v>117</v>
      </c>
      <c r="D14" s="12">
        <f t="shared" si="37"/>
        <v>41.000000000000014</v>
      </c>
      <c r="E14" s="9">
        <f t="shared" si="38"/>
        <v>2.8472222222222232E-2</v>
      </c>
      <c r="F14" s="9">
        <v>0.44166666666666665</v>
      </c>
      <c r="G14" s="11">
        <v>9.9552999999999994</v>
      </c>
      <c r="H14" s="11">
        <v>19.0198</v>
      </c>
      <c r="I14" s="11">
        <v>14.873900000000001</v>
      </c>
      <c r="J14" s="11">
        <f t="shared" si="1"/>
        <v>4.1458999999999993</v>
      </c>
      <c r="K14" s="11">
        <f t="shared" si="2"/>
        <v>4.9186000000000014</v>
      </c>
      <c r="L14" s="10" t="s">
        <v>1</v>
      </c>
      <c r="M14" s="17" t="s">
        <v>1</v>
      </c>
      <c r="N14" s="17">
        <v>148969</v>
      </c>
      <c r="O14" s="10" t="s">
        <v>1</v>
      </c>
      <c r="P14" s="17">
        <v>27998</v>
      </c>
      <c r="Q14" s="14">
        <v>0</v>
      </c>
      <c r="R14" s="14">
        <v>0</v>
      </c>
      <c r="S14" s="14">
        <f t="shared" si="5"/>
        <v>0.18912883753763704</v>
      </c>
      <c r="T14" s="14">
        <v>0</v>
      </c>
      <c r="U14" s="14">
        <f t="shared" si="6"/>
        <v>6.1110962923446248</v>
      </c>
      <c r="V14" s="14">
        <f t="shared" si="7"/>
        <v>0</v>
      </c>
      <c r="W14" s="14">
        <f t="shared" si="8"/>
        <v>0</v>
      </c>
      <c r="X14" s="14">
        <f t="shared" si="9"/>
        <v>3.4202058980306279E-4</v>
      </c>
      <c r="Y14" s="14">
        <f t="shared" si="10"/>
        <v>0</v>
      </c>
      <c r="Z14" s="14">
        <f t="shared" si="11"/>
        <v>4.0149902640704187E-3</v>
      </c>
      <c r="AA14" s="14">
        <f t="shared" si="12"/>
        <v>0</v>
      </c>
      <c r="AB14" s="14">
        <f t="shared" si="13"/>
        <v>0</v>
      </c>
      <c r="AC14" s="14">
        <f t="shared" si="14"/>
        <v>2.0392722343076942E-4</v>
      </c>
      <c r="AD14" s="14">
        <f t="shared" si="15"/>
        <v>0</v>
      </c>
      <c r="AE14" s="14">
        <f t="shared" si="16"/>
        <v>1.4703297679381167E-4</v>
      </c>
      <c r="AF14" s="14">
        <f t="shared" si="17"/>
        <v>0</v>
      </c>
      <c r="AG14" s="14">
        <f t="shared" si="18"/>
        <v>0</v>
      </c>
      <c r="AH14" s="14">
        <f t="shared" si="19"/>
        <v>2.4210196044311005E-6</v>
      </c>
      <c r="AI14" s="14">
        <f t="shared" si="20"/>
        <v>0</v>
      </c>
      <c r="AJ14" s="14">
        <f t="shared" si="21"/>
        <v>1.7368944535467588E-5</v>
      </c>
      <c r="AK14" s="14">
        <f t="shared" si="22"/>
        <v>0</v>
      </c>
      <c r="AL14" s="14">
        <f t="shared" si="23"/>
        <v>0</v>
      </c>
      <c r="AM14" s="14">
        <f t="shared" si="24"/>
        <v>4.922172171819419E-4</v>
      </c>
      <c r="AN14" s="14">
        <f t="shared" si="25"/>
        <v>0</v>
      </c>
      <c r="AO14" s="14">
        <f t="shared" si="26"/>
        <v>3.5312781148025014E-3</v>
      </c>
      <c r="AP14" s="14">
        <f>AK14-(AVERAGE($AK$9:$AK$11))</f>
        <v>0</v>
      </c>
      <c r="AQ14" s="14">
        <f>IF(AL14-(AVERAGE($AL$9:$AL$11))&lt;0,0,AL14-(AVERAGE($AL$9:$AL$11)))</f>
        <v>0</v>
      </c>
      <c r="AR14" s="14">
        <f>IF(AM14-(AVERAGE($AM$9:$AM$11))&lt;0,0,AM14-(AVERAGE($AM$9:$AM$11)))</f>
        <v>4.922172171819419E-4</v>
      </c>
      <c r="AS14" s="14">
        <f>IF(AN14-(AVERAGE($AN$9:$AN$11))&lt;0,0,AN14-(AVERAGE($AN$9:$AN$11)))</f>
        <v>0</v>
      </c>
      <c r="AT14" s="14">
        <f t="shared" si="39"/>
        <v>2.56656790836262E-4</v>
      </c>
      <c r="AU14" s="10">
        <f t="shared" si="40"/>
        <v>2.5049571156781265E-2</v>
      </c>
      <c r="AV14" s="10">
        <f t="shared" si="41"/>
        <v>4.3723201062165549</v>
      </c>
      <c r="AW14" s="10">
        <f t="shared" si="42"/>
        <v>0.3840778658989536</v>
      </c>
      <c r="AX14" s="10">
        <f t="shared" si="43"/>
        <v>4.6244108973394385E-6</v>
      </c>
      <c r="AY14" s="10">
        <f t="shared" si="44"/>
        <v>0.25582156106331949</v>
      </c>
      <c r="AZ14" s="10">
        <f t="shared" si="32"/>
        <v>0</v>
      </c>
      <c r="BA14" s="10">
        <f t="shared" si="33"/>
        <v>0</v>
      </c>
      <c r="BB14" s="10">
        <f t="shared" si="34"/>
        <v>1.2815558012693148E-3</v>
      </c>
      <c r="BC14" s="10">
        <f t="shared" si="45"/>
        <v>0</v>
      </c>
      <c r="BD14" s="10">
        <f t="shared" si="36"/>
        <v>1.0032648920187605E-3</v>
      </c>
      <c r="BF14" t="s">
        <v>138</v>
      </c>
      <c r="BG14" s="12">
        <v>80.000000000000028</v>
      </c>
      <c r="BH14">
        <v>0.14348005763589139</v>
      </c>
    </row>
    <row r="15" spans="2:61" x14ac:dyDescent="0.25">
      <c r="B15" s="10" t="s">
        <v>98</v>
      </c>
      <c r="C15" s="14" t="s">
        <v>117</v>
      </c>
      <c r="D15" s="12">
        <f t="shared" si="37"/>
        <v>61.000000000000021</v>
      </c>
      <c r="E15" s="9">
        <f t="shared" si="38"/>
        <v>4.2361111111111127E-2</v>
      </c>
      <c r="F15" s="9">
        <v>0.45555555555555555</v>
      </c>
      <c r="G15" s="11">
        <v>9.9489999999999998</v>
      </c>
      <c r="H15" s="11">
        <v>19.035499999999999</v>
      </c>
      <c r="I15" s="11">
        <v>14.796200000000001</v>
      </c>
      <c r="J15" s="11">
        <f t="shared" si="1"/>
        <v>4.2392999999999983</v>
      </c>
      <c r="K15" s="11">
        <f t="shared" si="2"/>
        <v>4.8472000000000008</v>
      </c>
      <c r="L15" s="17" t="s">
        <v>1</v>
      </c>
      <c r="M15" s="17" t="s">
        <v>1</v>
      </c>
      <c r="N15" s="17">
        <v>476587</v>
      </c>
      <c r="O15" s="17" t="s">
        <v>1</v>
      </c>
      <c r="P15" s="17">
        <v>56966</v>
      </c>
      <c r="Q15" s="14">
        <v>0</v>
      </c>
      <c r="R15" s="14">
        <v>0</v>
      </c>
      <c r="S15" s="14">
        <f t="shared" si="5"/>
        <v>4.9089651794332472</v>
      </c>
      <c r="T15" s="14">
        <v>0</v>
      </c>
      <c r="U15" s="14">
        <f t="shared" si="6"/>
        <v>11.630282361010554</v>
      </c>
      <c r="V15" s="14">
        <f t="shared" si="7"/>
        <v>0</v>
      </c>
      <c r="W15" s="14">
        <f t="shared" si="8"/>
        <v>0</v>
      </c>
      <c r="X15" s="14">
        <f t="shared" si="9"/>
        <v>8.8773726304870841E-3</v>
      </c>
      <c r="Y15" s="14">
        <f t="shared" si="10"/>
        <v>0</v>
      </c>
      <c r="Z15" s="14">
        <f t="shared" si="11"/>
        <v>7.6410955111839351E-3</v>
      </c>
      <c r="AA15" s="14">
        <f t="shared" si="12"/>
        <v>0</v>
      </c>
      <c r="AB15" s="14">
        <f t="shared" si="13"/>
        <v>0</v>
      </c>
      <c r="AC15" s="14">
        <f t="shared" si="14"/>
        <v>5.2930671598980013E-3</v>
      </c>
      <c r="AD15" s="14">
        <f t="shared" si="15"/>
        <v>0</v>
      </c>
      <c r="AE15" s="14">
        <f t="shared" si="16"/>
        <v>2.798245936059139E-4</v>
      </c>
      <c r="AF15" s="14">
        <f t="shared" si="17"/>
        <v>0</v>
      </c>
      <c r="AG15" s="14">
        <f t="shared" si="18"/>
        <v>0</v>
      </c>
      <c r="AH15" s="14">
        <f t="shared" si="19"/>
        <v>6.329040092988147E-5</v>
      </c>
      <c r="AI15" s="14">
        <f t="shared" si="20"/>
        <v>0</v>
      </c>
      <c r="AJ15" s="14">
        <f t="shared" si="21"/>
        <v>3.374926197068863E-5</v>
      </c>
      <c r="AK15" s="14">
        <f t="shared" si="22"/>
        <v>0</v>
      </c>
      <c r="AL15" s="14">
        <f t="shared" si="23"/>
        <v>0</v>
      </c>
      <c r="AM15" s="14">
        <f t="shared" si="24"/>
        <v>1.3057105324699095E-2</v>
      </c>
      <c r="AN15" s="14">
        <f t="shared" si="25"/>
        <v>0</v>
      </c>
      <c r="AO15" s="14">
        <f t="shared" si="26"/>
        <v>6.9626303785048325E-3</v>
      </c>
      <c r="AP15" s="14">
        <f t="shared" ref="AP15:AP36" si="46">AK15-(AVERAGE($AK$11:$AK$13))</f>
        <v>0</v>
      </c>
      <c r="AQ15" s="14">
        <f t="shared" si="29"/>
        <v>0</v>
      </c>
      <c r="AR15" s="14">
        <f t="shared" ref="AR15:AR36" si="47">IF(AM15-(AVERAGE($AM$9:$AM$11))&lt;0,0,AM15-(AVERAGE($AM$9:$AM$11)))</f>
        <v>1.3057105324699095E-2</v>
      </c>
      <c r="AS15" s="14">
        <f t="shared" si="31"/>
        <v>0</v>
      </c>
      <c r="AT15" s="14">
        <f t="shared" si="39"/>
        <v>3.6880090545385932E-3</v>
      </c>
      <c r="AU15" s="10">
        <f t="shared" si="40"/>
        <v>2.5008068299277403E-2</v>
      </c>
      <c r="AV15" s="10">
        <f t="shared" si="41"/>
        <v>4.3274983468333659</v>
      </c>
      <c r="AW15" s="10">
        <f t="shared" si="42"/>
        <v>0.38523663700350247</v>
      </c>
      <c r="AX15" s="10">
        <f t="shared" si="43"/>
        <v>4.7272820151375312E-6</v>
      </c>
      <c r="AY15" s="10">
        <f t="shared" si="44"/>
        <v>0.25815745583537347</v>
      </c>
      <c r="AZ15" s="10">
        <f t="shared" si="32"/>
        <v>0</v>
      </c>
      <c r="BA15" s="10">
        <f t="shared" si="33"/>
        <v>0</v>
      </c>
      <c r="BB15" s="10">
        <f t="shared" si="34"/>
        <v>3.389372679156781E-2</v>
      </c>
      <c r="BC15" s="10">
        <f t="shared" si="45"/>
        <v>0</v>
      </c>
      <c r="BD15" s="10">
        <f t="shared" si="36"/>
        <v>1.428589014640131E-2</v>
      </c>
      <c r="BF15" t="s">
        <v>125</v>
      </c>
      <c r="BG15" s="12">
        <v>91</v>
      </c>
      <c r="BH15">
        <v>0.25266770268805122</v>
      </c>
    </row>
    <row r="16" spans="2:61" x14ac:dyDescent="0.25">
      <c r="B16" s="10" t="s">
        <v>99</v>
      </c>
      <c r="C16" s="14" t="s">
        <v>117</v>
      </c>
      <c r="D16" s="12">
        <f t="shared" si="37"/>
        <v>80.000000000000028</v>
      </c>
      <c r="E16" s="9">
        <f t="shared" si="38"/>
        <v>5.555555555555558E-2</v>
      </c>
      <c r="F16" s="9">
        <v>0.46875</v>
      </c>
      <c r="G16" s="11">
        <v>10.130599999999999</v>
      </c>
      <c r="H16" s="11">
        <v>19.052199999999999</v>
      </c>
      <c r="I16" s="11">
        <v>14.904</v>
      </c>
      <c r="J16" s="11">
        <f t="shared" si="1"/>
        <v>4.1481999999999992</v>
      </c>
      <c r="K16" s="11">
        <f t="shared" si="2"/>
        <v>4.7734000000000005</v>
      </c>
      <c r="L16" s="17">
        <v>4487</v>
      </c>
      <c r="M16" s="17" t="s">
        <v>1</v>
      </c>
      <c r="N16" s="17">
        <v>1274145</v>
      </c>
      <c r="O16" s="17">
        <v>9464</v>
      </c>
      <c r="P16" s="17">
        <v>118149</v>
      </c>
      <c r="Q16" s="14">
        <f t="shared" si="3"/>
        <v>4.6466879220951194</v>
      </c>
      <c r="R16" s="14">
        <v>0</v>
      </c>
      <c r="S16" s="14">
        <f t="shared" si="5"/>
        <v>16.399003068589458</v>
      </c>
      <c r="T16" s="14">
        <f t="shared" si="0"/>
        <v>1.37856E-4</v>
      </c>
      <c r="U16" s="14">
        <f t="shared" si="6"/>
        <v>23.287295659794992</v>
      </c>
      <c r="V16" s="14">
        <f t="shared" si="7"/>
        <v>5.7530643163459672E-3</v>
      </c>
      <c r="W16" s="14">
        <f t="shared" si="8"/>
        <v>0</v>
      </c>
      <c r="X16" s="14">
        <f t="shared" si="9"/>
        <v>2.9655957149237178E-2</v>
      </c>
      <c r="Y16" s="14">
        <f t="shared" si="10"/>
        <v>8.3241588480000005E-7</v>
      </c>
      <c r="Z16" s="14">
        <f t="shared" si="11"/>
        <v>1.529975324848531E-2</v>
      </c>
      <c r="AA16" s="14">
        <f t="shared" si="12"/>
        <v>2.654792210530604E-4</v>
      </c>
      <c r="AB16" s="14">
        <f t="shared" si="13"/>
        <v>0</v>
      </c>
      <c r="AC16" s="14">
        <f t="shared" si="14"/>
        <v>1.7682143063691237E-2</v>
      </c>
      <c r="AD16" s="14">
        <f t="shared" si="15"/>
        <v>4.8324593664000003E-9</v>
      </c>
      <c r="AE16" s="14">
        <f t="shared" si="16"/>
        <v>5.6029233357466745E-4</v>
      </c>
      <c r="AF16" s="14">
        <f t="shared" si="17"/>
        <v>2.5132099910841013E-5</v>
      </c>
      <c r="AG16" s="14">
        <f t="shared" si="18"/>
        <v>0</v>
      </c>
      <c r="AH16" s="14">
        <f t="shared" si="19"/>
        <v>2.0742278314668939E-4</v>
      </c>
      <c r="AI16" s="14">
        <f t="shared" si="20"/>
        <v>3.476094834866933E-9</v>
      </c>
      <c r="AJ16" s="14">
        <f t="shared" si="21"/>
        <v>6.6140935850452078E-5</v>
      </c>
      <c r="AK16" s="14">
        <f t="shared" si="22"/>
        <v>5.2650311959695417E-3</v>
      </c>
      <c r="AL16" s="14">
        <f t="shared" si="23"/>
        <v>0</v>
      </c>
      <c r="AM16" s="14">
        <f t="shared" si="24"/>
        <v>4.3453886778122383E-2</v>
      </c>
      <c r="AN16" s="14">
        <f t="shared" si="25"/>
        <v>7.2822198744436513E-7</v>
      </c>
      <c r="AO16" s="14">
        <f t="shared" si="26"/>
        <v>1.3856147787835102E-2</v>
      </c>
      <c r="AP16" s="14">
        <f t="shared" si="46"/>
        <v>5.2650311959695417E-3</v>
      </c>
      <c r="AQ16" s="14">
        <f t="shared" si="29"/>
        <v>0</v>
      </c>
      <c r="AR16" s="14">
        <f t="shared" si="47"/>
        <v>4.3453886778122383E-2</v>
      </c>
      <c r="AS16" s="14">
        <f t="shared" si="31"/>
        <v>7.2822198744436513E-7</v>
      </c>
      <c r="AT16" s="14">
        <f t="shared" si="39"/>
        <v>1.0581526463868863E-2</v>
      </c>
      <c r="AU16" s="10">
        <f t="shared" si="40"/>
        <v>2.4968640584648736E-2</v>
      </c>
      <c r="AV16" s="10">
        <f t="shared" si="41"/>
        <v>4.2849176754193357</v>
      </c>
      <c r="AW16" s="10">
        <f t="shared" si="42"/>
        <v>0.38633746955282394</v>
      </c>
      <c r="AX16" s="10">
        <f t="shared" si="43"/>
        <v>4.8250095770457193E-6</v>
      </c>
      <c r="AY16" s="10">
        <f t="shared" si="44"/>
        <v>0.26037655586882474</v>
      </c>
      <c r="AZ16" s="10">
        <f t="shared" si="32"/>
        <v>0.21086575290793355</v>
      </c>
      <c r="BA16" s="10">
        <f t="shared" si="33"/>
        <v>0</v>
      </c>
      <c r="BB16" s="10">
        <f t="shared" si="34"/>
        <v>0.11247650099385695</v>
      </c>
      <c r="BC16" s="10">
        <f t="shared" si="45"/>
        <v>0.15092653720497784</v>
      </c>
      <c r="BD16" s="10">
        <f t="shared" si="36"/>
        <v>4.063932111153562E-2</v>
      </c>
      <c r="BF16" t="s">
        <v>139</v>
      </c>
      <c r="BG16" s="12">
        <v>100.00000000000004</v>
      </c>
      <c r="BH16">
        <v>0.30018431543237134</v>
      </c>
    </row>
    <row r="17" spans="2:61" x14ac:dyDescent="0.25">
      <c r="B17" s="10" t="s">
        <v>100</v>
      </c>
      <c r="C17" s="14" t="s">
        <v>117</v>
      </c>
      <c r="D17" s="12">
        <f t="shared" si="37"/>
        <v>100.00000000000004</v>
      </c>
      <c r="E17" s="9">
        <f>F17-$F$3</f>
        <v>6.9444444444444475E-2</v>
      </c>
      <c r="F17" s="9">
        <v>0.4826388888888889</v>
      </c>
      <c r="G17" s="11">
        <v>9.9466000000000001</v>
      </c>
      <c r="H17" s="11">
        <v>18.9969</v>
      </c>
      <c r="I17" s="11">
        <v>14.617100000000001</v>
      </c>
      <c r="J17" s="11">
        <f t="shared" si="1"/>
        <v>4.3797999999999995</v>
      </c>
      <c r="K17" s="11">
        <f t="shared" si="2"/>
        <v>4.6705000000000005</v>
      </c>
      <c r="L17" s="17">
        <v>10648</v>
      </c>
      <c r="M17" s="17" t="s">
        <v>1</v>
      </c>
      <c r="N17" s="17">
        <v>2285450</v>
      </c>
      <c r="O17" s="17">
        <v>16386</v>
      </c>
      <c r="P17" s="17">
        <v>205300</v>
      </c>
      <c r="Q17" s="14">
        <f t="shared" si="3"/>
        <v>5.2742663311976044</v>
      </c>
      <c r="R17" s="14">
        <v>0</v>
      </c>
      <c r="S17" s="14">
        <f t="shared" si="5"/>
        <v>30.968392087937417</v>
      </c>
      <c r="T17" s="14">
        <f t="shared" si="0"/>
        <v>1.65544E-4</v>
      </c>
      <c r="U17" s="14">
        <f t="shared" si="6"/>
        <v>39.891914034218651</v>
      </c>
      <c r="V17" s="14">
        <f t="shared" si="7"/>
        <v>6.5300691446557538E-3</v>
      </c>
      <c r="W17" s="14">
        <f t="shared" si="8"/>
        <v>0</v>
      </c>
      <c r="X17" s="14">
        <f t="shared" si="9"/>
        <v>5.6003240251826028E-2</v>
      </c>
      <c r="Y17" s="14">
        <f t="shared" si="10"/>
        <v>9.9960433519999981E-7</v>
      </c>
      <c r="Z17" s="14">
        <f t="shared" si="11"/>
        <v>2.6208987520481654E-2</v>
      </c>
      <c r="AA17" s="14">
        <f t="shared" si="12"/>
        <v>3.0133465830031275E-4</v>
      </c>
      <c r="AB17" s="14">
        <f t="shared" si="13"/>
        <v>0</v>
      </c>
      <c r="AC17" s="14">
        <f t="shared" si="14"/>
        <v>3.3391513926858081E-2</v>
      </c>
      <c r="AD17" s="14">
        <f t="shared" si="15"/>
        <v>5.8030455935999998E-9</v>
      </c>
      <c r="AE17" s="14">
        <f t="shared" si="16"/>
        <v>9.5979945166330062E-4</v>
      </c>
      <c r="AF17" s="14">
        <f t="shared" si="17"/>
        <v>3.0007780361354877E-5</v>
      </c>
      <c r="AG17" s="14">
        <f t="shared" si="18"/>
        <v>0</v>
      </c>
      <c r="AH17" s="14">
        <f t="shared" si="19"/>
        <v>4.0123805745033827E-4</v>
      </c>
      <c r="AI17" s="14">
        <f t="shared" si="20"/>
        <v>4.4051701917538671E-9</v>
      </c>
      <c r="AJ17" s="14">
        <f t="shared" si="21"/>
        <v>1.1927286688119898E-4</v>
      </c>
      <c r="AK17" s="14">
        <f t="shared" si="22"/>
        <v>6.4249610023241347E-3</v>
      </c>
      <c r="AL17" s="14">
        <f t="shared" si="23"/>
        <v>0</v>
      </c>
      <c r="AM17" s="14">
        <f t="shared" si="24"/>
        <v>8.5909015619385118E-2</v>
      </c>
      <c r="AN17" s="14">
        <f t="shared" si="25"/>
        <v>9.4319027764776073E-7</v>
      </c>
      <c r="AO17" s="14">
        <f t="shared" si="26"/>
        <v>2.5537494247125352E-2</v>
      </c>
      <c r="AP17" s="14">
        <f t="shared" si="46"/>
        <v>6.4249610023241347E-3</v>
      </c>
      <c r="AQ17" s="14">
        <f t="shared" si="29"/>
        <v>0</v>
      </c>
      <c r="AR17" s="14">
        <f t="shared" si="47"/>
        <v>8.5909015619385118E-2</v>
      </c>
      <c r="AS17" s="14">
        <f t="shared" si="31"/>
        <v>9.4319027764776073E-7</v>
      </c>
      <c r="AT17" s="14">
        <f t="shared" si="39"/>
        <v>2.2262872923159115E-2</v>
      </c>
      <c r="AU17" s="10">
        <f t="shared" si="40"/>
        <v>2.4927137727144874E-2</v>
      </c>
      <c r="AV17" s="10">
        <f t="shared" si="41"/>
        <v>4.2400959160361467</v>
      </c>
      <c r="AW17" s="10">
        <f t="shared" si="42"/>
        <v>0.38749624065737281</v>
      </c>
      <c r="AX17" s="10">
        <f t="shared" si="43"/>
        <v>4.927880694843812E-6</v>
      </c>
      <c r="AY17" s="10">
        <f t="shared" si="44"/>
        <v>0.26271245064087878</v>
      </c>
      <c r="AZ17" s="10">
        <f t="shared" ref="AZ17:AZ36" si="48">AP17/AU17</f>
        <v>0.25774964910341686</v>
      </c>
      <c r="BA17" s="10">
        <f t="shared" ref="BA17:BA36" si="49">AQ17/AV17</f>
        <v>0</v>
      </c>
      <c r="BB17" s="10">
        <f t="shared" si="34"/>
        <v>0.22170283632595686</v>
      </c>
      <c r="BC17" s="10">
        <f t="shared" si="45"/>
        <v>0.19139876471332773</v>
      </c>
      <c r="BD17" s="10">
        <f t="shared" si="36"/>
        <v>8.4742359446038945E-2</v>
      </c>
      <c r="BF17" t="s">
        <v>126</v>
      </c>
      <c r="BG17" s="12">
        <v>110</v>
      </c>
      <c r="BH17">
        <v>0.42353895058052293</v>
      </c>
    </row>
    <row r="18" spans="2:61" x14ac:dyDescent="0.25">
      <c r="B18" s="10" t="s">
        <v>101</v>
      </c>
      <c r="C18" s="14" t="s">
        <v>117</v>
      </c>
      <c r="D18" s="12">
        <f t="shared" si="37"/>
        <v>121.00000000000006</v>
      </c>
      <c r="E18" s="9">
        <f t="shared" ref="E18:E36" si="50">F18-$F$3</f>
        <v>8.4027777777777812E-2</v>
      </c>
      <c r="F18" s="9">
        <v>0.49722222222222223</v>
      </c>
      <c r="G18" s="11">
        <v>9.9476999999999993</v>
      </c>
      <c r="H18" s="11">
        <v>19.005500000000001</v>
      </c>
      <c r="I18" s="11">
        <v>14.8848</v>
      </c>
      <c r="J18" s="11">
        <f t="shared" si="1"/>
        <v>4.1207000000000011</v>
      </c>
      <c r="K18" s="11">
        <f t="shared" si="2"/>
        <v>4.9371000000000009</v>
      </c>
      <c r="L18" s="17">
        <v>24170</v>
      </c>
      <c r="M18" s="17">
        <v>974</v>
      </c>
      <c r="N18" s="17">
        <v>3972558</v>
      </c>
      <c r="O18" s="17">
        <v>33575</v>
      </c>
      <c r="P18" s="17">
        <v>381542</v>
      </c>
      <c r="Q18" s="14">
        <f t="shared" si="3"/>
        <v>6.6516588401870207</v>
      </c>
      <c r="R18" s="14">
        <f t="shared" si="4"/>
        <v>17.700494881702944</v>
      </c>
      <c r="S18" s="14">
        <f t="shared" si="5"/>
        <v>55.273752755247578</v>
      </c>
      <c r="T18" s="14">
        <f t="shared" si="0"/>
        <v>2.343E-4</v>
      </c>
      <c r="U18" s="14">
        <f t="shared" si="6"/>
        <v>73.470773158556568</v>
      </c>
      <c r="V18" s="14">
        <f t="shared" si="7"/>
        <v>8.2354188100355503E-3</v>
      </c>
      <c r="W18" s="14">
        <f t="shared" si="8"/>
        <v>1.0792984683965209E-2</v>
      </c>
      <c r="X18" s="14">
        <f t="shared" si="9"/>
        <v>9.9957054482589722E-2</v>
      </c>
      <c r="Y18" s="14">
        <f t="shared" si="10"/>
        <v>1.4147736899999998E-6</v>
      </c>
      <c r="Z18" s="14">
        <f t="shared" si="11"/>
        <v>4.8270297965171675E-2</v>
      </c>
      <c r="AA18" s="14">
        <f t="shared" si="12"/>
        <v>3.8002922451640508E-4</v>
      </c>
      <c r="AB18" s="14">
        <f t="shared" si="13"/>
        <v>2.6196732424920356E-5</v>
      </c>
      <c r="AC18" s="14">
        <f t="shared" si="14"/>
        <v>5.9598647539581918E-2</v>
      </c>
      <c r="AD18" s="14">
        <f t="shared" si="15"/>
        <v>8.2132459200000008E-9</v>
      </c>
      <c r="AE18" s="14">
        <f t="shared" si="16"/>
        <v>1.767706802194871E-3</v>
      </c>
      <c r="AF18" s="14">
        <f t="shared" si="17"/>
        <v>3.5811932574873444E-5</v>
      </c>
      <c r="AG18" s="14">
        <f t="shared" si="18"/>
        <v>4.4603987874870529E-5</v>
      </c>
      <c r="AH18" s="14">
        <f t="shared" si="19"/>
        <v>7.0613751717407756E-4</v>
      </c>
      <c r="AI18" s="14">
        <f t="shared" si="20"/>
        <v>5.8704075608146336E-9</v>
      </c>
      <c r="AJ18" s="14">
        <f t="shared" si="21"/>
        <v>2.0763476207819929E-4</v>
      </c>
      <c r="AK18" s="14">
        <f t="shared" si="22"/>
        <v>7.253637271854619E-3</v>
      </c>
      <c r="AL18" s="14">
        <f t="shared" si="23"/>
        <v>9.0344509681534752E-3</v>
      </c>
      <c r="AM18" s="14">
        <f t="shared" si="24"/>
        <v>0.1430267803313843</v>
      </c>
      <c r="AN18" s="14">
        <f t="shared" si="25"/>
        <v>1.1890396307173507E-6</v>
      </c>
      <c r="AO18" s="14">
        <f t="shared" si="26"/>
        <v>4.2056017110894905E-2</v>
      </c>
      <c r="AP18" s="14">
        <f t="shared" si="46"/>
        <v>7.253637271854619E-3</v>
      </c>
      <c r="AQ18" s="14">
        <f t="shared" si="29"/>
        <v>9.0344509681534752E-3</v>
      </c>
      <c r="AR18" s="14">
        <f t="shared" si="47"/>
        <v>0.1430267803313843</v>
      </c>
      <c r="AS18" s="14">
        <f t="shared" si="31"/>
        <v>1.1890396307173507E-6</v>
      </c>
      <c r="AT18" s="14">
        <f t="shared" si="39"/>
        <v>3.8781395786928664E-2</v>
      </c>
      <c r="AU18" s="10">
        <f t="shared" si="40"/>
        <v>2.4883559726765821E-2</v>
      </c>
      <c r="AV18" s="10">
        <f t="shared" si="41"/>
        <v>4.193033068683798</v>
      </c>
      <c r="AW18" s="10">
        <f t="shared" si="42"/>
        <v>0.38871295031714914</v>
      </c>
      <c r="AX18" s="10">
        <f t="shared" si="43"/>
        <v>5.0358953685318093E-6</v>
      </c>
      <c r="AY18" s="10">
        <f t="shared" si="44"/>
        <v>0.26516514015153547</v>
      </c>
      <c r="AZ18" s="10">
        <f t="shared" si="48"/>
        <v>0.29150319936147628</v>
      </c>
      <c r="BA18" s="10">
        <f t="shared" si="49"/>
        <v>2.1546338462313649E-3</v>
      </c>
      <c r="BB18" s="10">
        <f t="shared" si="34"/>
        <v>0.36794961478563909</v>
      </c>
      <c r="BC18" s="10">
        <f t="shared" si="45"/>
        <v>0.23611285455758177</v>
      </c>
      <c r="BD18" s="10">
        <f t="shared" si="36"/>
        <v>0.14625374875734432</v>
      </c>
      <c r="BF18" t="s">
        <v>140</v>
      </c>
      <c r="BG18" s="12">
        <v>121.00000000000006</v>
      </c>
      <c r="BH18">
        <v>0.56018063855162326</v>
      </c>
    </row>
    <row r="19" spans="2:61" x14ac:dyDescent="0.25">
      <c r="B19" s="10" t="s">
        <v>102</v>
      </c>
      <c r="C19" s="14" t="s">
        <v>117</v>
      </c>
      <c r="D19" s="12">
        <f t="shared" si="37"/>
        <v>139.99999999999997</v>
      </c>
      <c r="E19" s="9">
        <f t="shared" si="50"/>
        <v>9.722222222222221E-2</v>
      </c>
      <c r="F19" s="9">
        <v>0.51041666666666663</v>
      </c>
      <c r="G19" s="11">
        <v>9.8544</v>
      </c>
      <c r="H19" s="11">
        <v>18.871500000000001</v>
      </c>
      <c r="I19" s="11">
        <v>14.8904</v>
      </c>
      <c r="J19" s="11">
        <f t="shared" si="1"/>
        <v>3.9811000000000014</v>
      </c>
      <c r="K19" s="11">
        <f t="shared" si="2"/>
        <v>5.0359999999999996</v>
      </c>
      <c r="L19" s="17">
        <v>26083</v>
      </c>
      <c r="M19" s="17">
        <v>863</v>
      </c>
      <c r="N19" s="17">
        <v>4198449</v>
      </c>
      <c r="O19" s="17">
        <v>32393</v>
      </c>
      <c r="P19" s="17">
        <v>381729</v>
      </c>
      <c r="Q19" s="14">
        <f t="shared" si="3"/>
        <v>6.8465229039125601</v>
      </c>
      <c r="R19" s="14">
        <v>0</v>
      </c>
      <c r="S19" s="14">
        <f t="shared" si="5"/>
        <v>58.528056704075603</v>
      </c>
      <c r="T19" s="14">
        <f t="shared" si="0"/>
        <v>2.2957199999999999E-4</v>
      </c>
      <c r="U19" s="14">
        <f t="shared" si="6"/>
        <v>73.506401707121896</v>
      </c>
      <c r="V19" s="14">
        <f t="shared" si="7"/>
        <v>8.4766800073341406E-3</v>
      </c>
      <c r="W19" s="14">
        <f t="shared" si="8"/>
        <v>0</v>
      </c>
      <c r="X19" s="14">
        <f t="shared" si="9"/>
        <v>0.10584213774365032</v>
      </c>
      <c r="Y19" s="14">
        <f t="shared" si="10"/>
        <v>1.3862246075999998E-6</v>
      </c>
      <c r="Z19" s="14">
        <f t="shared" si="11"/>
        <v>4.8293705921579097E-2</v>
      </c>
      <c r="AA19" s="14">
        <f t="shared" si="12"/>
        <v>3.9116239306923631E-4</v>
      </c>
      <c r="AB19" s="14">
        <f t="shared" si="13"/>
        <v>0</v>
      </c>
      <c r="AC19" s="14">
        <f t="shared" si="14"/>
        <v>6.3107584500885994E-2</v>
      </c>
      <c r="AD19" s="14">
        <f t="shared" si="15"/>
        <v>8.0475087167999994E-9</v>
      </c>
      <c r="AE19" s="14">
        <f t="shared" si="16"/>
        <v>1.7685640250733525E-3</v>
      </c>
      <c r="AF19" s="14">
        <f t="shared" si="17"/>
        <v>3.5716404588694634E-5</v>
      </c>
      <c r="AG19" s="14">
        <f t="shared" si="18"/>
        <v>0</v>
      </c>
      <c r="AH19" s="14">
        <f t="shared" si="19"/>
        <v>7.3917793011770826E-4</v>
      </c>
      <c r="AI19" s="14">
        <f t="shared" si="20"/>
        <v>5.5592260392141658E-9</v>
      </c>
      <c r="AJ19" s="14">
        <f t="shared" si="21"/>
        <v>2.0116856107466803E-4</v>
      </c>
      <c r="AK19" s="14">
        <f t="shared" si="22"/>
        <v>7.0922169556581881E-3</v>
      </c>
      <c r="AL19" s="14">
        <f t="shared" si="23"/>
        <v>0</v>
      </c>
      <c r="AM19" s="14">
        <f t="shared" si="24"/>
        <v>0.14677877881606599</v>
      </c>
      <c r="AN19" s="14">
        <f t="shared" si="25"/>
        <v>1.1038971483745365E-6</v>
      </c>
      <c r="AO19" s="14">
        <f t="shared" si="26"/>
        <v>3.9946100292825269E-2</v>
      </c>
      <c r="AP19" s="14">
        <f t="shared" si="46"/>
        <v>7.0922169556581881E-3</v>
      </c>
      <c r="AQ19" s="14">
        <f t="shared" si="29"/>
        <v>0</v>
      </c>
      <c r="AR19" s="14">
        <f t="shared" si="47"/>
        <v>0.14677877881606599</v>
      </c>
      <c r="AS19" s="14">
        <f t="shared" si="31"/>
        <v>1.1038971483745365E-6</v>
      </c>
      <c r="AT19" s="14">
        <f t="shared" si="39"/>
        <v>3.6671478968859028E-2</v>
      </c>
      <c r="AU19" s="10">
        <f t="shared" si="40"/>
        <v>2.4844132012137154E-2</v>
      </c>
      <c r="AV19" s="10">
        <f t="shared" si="41"/>
        <v>4.1504523972697687</v>
      </c>
      <c r="AW19" s="10">
        <f t="shared" si="42"/>
        <v>0.38981378286647062</v>
      </c>
      <c r="AX19" s="10">
        <f t="shared" si="43"/>
        <v>5.1336229304399974E-6</v>
      </c>
      <c r="AY19" s="10">
        <f t="shared" si="44"/>
        <v>0.26738424018498674</v>
      </c>
      <c r="AZ19" s="10">
        <f t="shared" si="48"/>
        <v>0.28546849421800741</v>
      </c>
      <c r="BA19" s="10">
        <f t="shared" si="49"/>
        <v>0</v>
      </c>
      <c r="BB19" s="10">
        <f t="shared" si="34"/>
        <v>0.37653563128716916</v>
      </c>
      <c r="BC19" s="10">
        <f t="shared" si="45"/>
        <v>0.21503276795592829</v>
      </c>
      <c r="BD19" s="10">
        <f t="shared" si="36"/>
        <v>0.13714899181600337</v>
      </c>
      <c r="BF19" t="s">
        <v>127</v>
      </c>
      <c r="BG19" s="12">
        <v>131</v>
      </c>
      <c r="BH19">
        <v>0.61242377150543126</v>
      </c>
    </row>
    <row r="20" spans="2:61" x14ac:dyDescent="0.25">
      <c r="B20" s="10" t="s">
        <v>103</v>
      </c>
      <c r="C20" s="14" t="s">
        <v>117</v>
      </c>
      <c r="D20" s="12">
        <f t="shared" si="37"/>
        <v>160.00000000000006</v>
      </c>
      <c r="E20" s="9">
        <f t="shared" si="50"/>
        <v>0.11111111111111116</v>
      </c>
      <c r="F20" s="9">
        <v>0.52430555555555558</v>
      </c>
      <c r="G20" s="11">
        <v>9.9639000000000006</v>
      </c>
      <c r="H20" s="11">
        <v>18.963000000000001</v>
      </c>
      <c r="I20" s="11">
        <v>14.651899999999999</v>
      </c>
      <c r="J20" s="11">
        <f t="shared" si="1"/>
        <v>4.3111000000000015</v>
      </c>
      <c r="K20" s="11">
        <f t="shared" si="2"/>
        <v>4.6879999999999988</v>
      </c>
      <c r="L20" s="17">
        <v>28338</v>
      </c>
      <c r="M20" s="17">
        <v>1004</v>
      </c>
      <c r="N20" s="17">
        <v>4811954</v>
      </c>
      <c r="O20" s="17">
        <v>38150</v>
      </c>
      <c r="P20" s="17">
        <v>414610</v>
      </c>
      <c r="Q20" s="14">
        <f t="shared" si="3"/>
        <v>7.0762241395116678</v>
      </c>
      <c r="R20" s="14">
        <f t="shared" si="4"/>
        <v>24.479696291776836</v>
      </c>
      <c r="S20" s="14">
        <f t="shared" si="5"/>
        <v>67.366530765130449</v>
      </c>
      <c r="T20" s="14">
        <f t="shared" si="0"/>
        <v>2.5260000000000001E-4</v>
      </c>
      <c r="U20" s="14">
        <f t="shared" si="6"/>
        <v>79.771119917692332</v>
      </c>
      <c r="V20" s="14">
        <f t="shared" si="7"/>
        <v>8.7610731071293951E-3</v>
      </c>
      <c r="W20" s="14">
        <f t="shared" si="8"/>
        <v>1.492664408035173E-2</v>
      </c>
      <c r="X20" s="14">
        <f t="shared" si="9"/>
        <v>0.12182563423566191</v>
      </c>
      <c r="Y20" s="14">
        <f t="shared" si="10"/>
        <v>1.5252745799999999E-6</v>
      </c>
      <c r="Z20" s="14">
        <f t="shared" si="11"/>
        <v>5.2409625785923869E-2</v>
      </c>
      <c r="AA20" s="14">
        <f t="shared" si="12"/>
        <v>4.0428591376272016E-4</v>
      </c>
      <c r="AB20" s="14">
        <f t="shared" si="13"/>
        <v>3.6229950511829721E-5</v>
      </c>
      <c r="AC20" s="14">
        <f t="shared" si="14"/>
        <v>7.2637624964848074E-2</v>
      </c>
      <c r="AD20" s="14">
        <f t="shared" si="15"/>
        <v>8.8547414400000018E-9</v>
      </c>
      <c r="AE20" s="14">
        <f t="shared" si="16"/>
        <v>1.9192931452196771E-3</v>
      </c>
      <c r="AF20" s="14">
        <f t="shared" si="17"/>
        <v>3.9665154635865182E-5</v>
      </c>
      <c r="AG20" s="14">
        <f t="shared" si="18"/>
        <v>6.4520101302803832E-5</v>
      </c>
      <c r="AH20" s="14">
        <f t="shared" si="19"/>
        <v>8.6572767758856983E-4</v>
      </c>
      <c r="AI20" s="14">
        <f t="shared" si="20"/>
        <v>6.617122269708722E-9</v>
      </c>
      <c r="AJ20" s="14">
        <f t="shared" si="21"/>
        <v>2.3494078399048632E-4</v>
      </c>
      <c r="AK20" s="14">
        <f t="shared" si="22"/>
        <v>8.4609971492886505E-3</v>
      </c>
      <c r="AL20" s="14">
        <f t="shared" si="23"/>
        <v>1.3762820243772152E-2</v>
      </c>
      <c r="AM20" s="14">
        <f t="shared" si="24"/>
        <v>0.18466887320575298</v>
      </c>
      <c r="AN20" s="14">
        <f t="shared" si="25"/>
        <v>1.4115021906375262E-6</v>
      </c>
      <c r="AO20" s="14">
        <f t="shared" si="26"/>
        <v>5.0115354946776103E-2</v>
      </c>
      <c r="AP20" s="14">
        <f t="shared" si="46"/>
        <v>8.4609971492886505E-3</v>
      </c>
      <c r="AQ20" s="14">
        <f t="shared" si="29"/>
        <v>1.3762820243772152E-2</v>
      </c>
      <c r="AR20" s="14">
        <f t="shared" si="47"/>
        <v>0.18466887320575298</v>
      </c>
      <c r="AS20" s="14">
        <f t="shared" si="31"/>
        <v>1.4115021906375262E-6</v>
      </c>
      <c r="AT20" s="14">
        <f t="shared" ref="AT20:AT36" si="51">IF(AO20-(AVERAGE($AO$9:$AO$11))&lt;0,0,AO20-(AVERAGE($AO$9:$AO$11)))</f>
        <v>4.6840733622809862E-2</v>
      </c>
      <c r="AU20" s="10">
        <f t="shared" si="40"/>
        <v>2.4802629154633292E-2</v>
      </c>
      <c r="AV20" s="10">
        <f t="shared" si="41"/>
        <v>4.1056306378865788</v>
      </c>
      <c r="AW20" s="10">
        <f t="shared" si="42"/>
        <v>0.39097255397101954</v>
      </c>
      <c r="AX20" s="10">
        <f t="shared" si="43"/>
        <v>5.2364940482380901E-6</v>
      </c>
      <c r="AY20" s="10">
        <f t="shared" si="44"/>
        <v>0.26972013495704078</v>
      </c>
      <c r="AZ20" s="10">
        <f t="shared" si="48"/>
        <v>0.34113307490662059</v>
      </c>
      <c r="BA20" s="10">
        <f t="shared" si="49"/>
        <v>3.3521817858551258E-3</v>
      </c>
      <c r="BB20" s="10">
        <f t="shared" si="34"/>
        <v>0.47233206354285773</v>
      </c>
      <c r="BC20" s="10">
        <f t="shared" si="45"/>
        <v>0.2695509968377508</v>
      </c>
      <c r="BD20" s="10">
        <f t="shared" si="36"/>
        <v>0.17366420801424537</v>
      </c>
      <c r="BF20" t="s">
        <v>141</v>
      </c>
      <c r="BG20" s="12">
        <v>139.99999999999997</v>
      </c>
      <c r="BH20">
        <v>0.58872831779563151</v>
      </c>
    </row>
    <row r="21" spans="2:61" x14ac:dyDescent="0.25">
      <c r="B21" s="10" t="s">
        <v>104</v>
      </c>
      <c r="C21" s="14" t="s">
        <v>117</v>
      </c>
      <c r="D21" s="12">
        <f t="shared" si="37"/>
        <v>181</v>
      </c>
      <c r="E21" s="9">
        <f t="shared" si="50"/>
        <v>0.12569444444444444</v>
      </c>
      <c r="F21" s="9">
        <v>0.53888888888888886</v>
      </c>
      <c r="G21" s="11">
        <v>9.8552999999999997</v>
      </c>
      <c r="H21" s="11">
        <v>19.0153</v>
      </c>
      <c r="I21" s="11">
        <v>15.033099999999999</v>
      </c>
      <c r="J21" s="11">
        <f t="shared" si="1"/>
        <v>3.9822000000000006</v>
      </c>
      <c r="K21" s="11">
        <f t="shared" si="2"/>
        <v>5.1777999999999995</v>
      </c>
      <c r="L21" s="17">
        <v>44448</v>
      </c>
      <c r="M21" s="17">
        <v>1062</v>
      </c>
      <c r="N21" s="17">
        <v>6071614</v>
      </c>
      <c r="O21" s="17">
        <v>54814</v>
      </c>
      <c r="P21" s="17">
        <v>601656</v>
      </c>
      <c r="Q21" s="14">
        <f t="shared" si="3"/>
        <v>8.7172382882928758</v>
      </c>
      <c r="R21" s="14">
        <f t="shared" si="4"/>
        <v>37.586152351253034</v>
      </c>
      <c r="S21" s="14">
        <f t="shared" si="5"/>
        <v>85.513851872127702</v>
      </c>
      <c r="T21" s="14">
        <f t="shared" si="0"/>
        <v>3.1925600000000002E-4</v>
      </c>
      <c r="U21" s="14">
        <f t="shared" si="6"/>
        <v>115.40843272491711</v>
      </c>
      <c r="V21" s="14">
        <f t="shared" si="7"/>
        <v>1.0792812724735409E-2</v>
      </c>
      <c r="W21" s="14">
        <f t="shared" si="8"/>
        <v>2.2918385580032334E-2</v>
      </c>
      <c r="X21" s="14">
        <f t="shared" si="9"/>
        <v>0.15464324972555574</v>
      </c>
      <c r="Y21" s="14">
        <f t="shared" si="10"/>
        <v>1.9277635047999999E-6</v>
      </c>
      <c r="Z21" s="14">
        <f t="shared" si="11"/>
        <v>7.5823340300270547E-2</v>
      </c>
      <c r="AA21" s="14">
        <f t="shared" si="12"/>
        <v>4.9804197512503688E-4</v>
      </c>
      <c r="AB21" s="14">
        <f t="shared" si="13"/>
        <v>5.5627505479854494E-5</v>
      </c>
      <c r="AC21" s="14">
        <f t="shared" si="14"/>
        <v>9.2204883211862348E-2</v>
      </c>
      <c r="AD21" s="14">
        <f t="shared" si="15"/>
        <v>1.11913275264E-8</v>
      </c>
      <c r="AE21" s="14">
        <f t="shared" si="16"/>
        <v>2.7767268913615056E-3</v>
      </c>
      <c r="AF21" s="14">
        <f t="shared" si="17"/>
        <v>4.5557900571243769E-5</v>
      </c>
      <c r="AG21" s="14">
        <f t="shared" si="18"/>
        <v>9.1553623154678367E-5</v>
      </c>
      <c r="AH21" s="14">
        <f t="shared" si="19"/>
        <v>1.093238793351489E-3</v>
      </c>
      <c r="AI21" s="14">
        <f t="shared" si="20"/>
        <v>7.7346862844807554E-9</v>
      </c>
      <c r="AJ21" s="14">
        <f t="shared" si="21"/>
        <v>3.1632104224182901E-4</v>
      </c>
      <c r="AK21" s="14">
        <f t="shared" si="22"/>
        <v>8.7986983991741232E-3</v>
      </c>
      <c r="AL21" s="14">
        <f t="shared" si="23"/>
        <v>1.7681954334790521E-2</v>
      </c>
      <c r="AM21" s="14">
        <f t="shared" si="24"/>
        <v>0.21113963330980126</v>
      </c>
      <c r="AN21" s="14">
        <f t="shared" si="25"/>
        <v>1.49381712010521E-6</v>
      </c>
      <c r="AO21" s="14">
        <f t="shared" si="26"/>
        <v>6.1091784588402226E-2</v>
      </c>
      <c r="AP21" s="14">
        <f t="shared" si="46"/>
        <v>8.7986983991741232E-3</v>
      </c>
      <c r="AQ21" s="14">
        <f t="shared" si="29"/>
        <v>1.7681954334790521E-2</v>
      </c>
      <c r="AR21" s="14">
        <f t="shared" si="47"/>
        <v>0.21113963330980126</v>
      </c>
      <c r="AS21" s="14">
        <f t="shared" si="31"/>
        <v>1.49381712010521E-6</v>
      </c>
      <c r="AT21" s="14">
        <f t="shared" si="51"/>
        <v>5.7817163264435985E-2</v>
      </c>
      <c r="AU21" s="10">
        <f t="shared" si="40"/>
        <v>2.4759051154254239E-2</v>
      </c>
      <c r="AV21" s="10">
        <f t="shared" si="41"/>
        <v>4.0585677905342301</v>
      </c>
      <c r="AW21" s="10">
        <f t="shared" si="42"/>
        <v>0.39218926363079587</v>
      </c>
      <c r="AX21" s="10">
        <f t="shared" si="43"/>
        <v>5.3445087219260874E-6</v>
      </c>
      <c r="AY21" s="10">
        <f t="shared" si="44"/>
        <v>0.27217282446769747</v>
      </c>
      <c r="AZ21" s="10">
        <f t="shared" si="48"/>
        <v>0.35537300457745052</v>
      </c>
      <c r="BA21" s="10">
        <f t="shared" si="49"/>
        <v>4.3566980391531278E-3</v>
      </c>
      <c r="BB21" s="10">
        <f t="shared" si="34"/>
        <v>0.5383615842899937</v>
      </c>
      <c r="BC21" s="10">
        <f t="shared" si="45"/>
        <v>0.27950503925211273</v>
      </c>
      <c r="BD21" s="10">
        <f t="shared" si="36"/>
        <v>0.2124281267886021</v>
      </c>
      <c r="BF21" t="s">
        <v>128</v>
      </c>
      <c r="BG21" s="12">
        <v>150</v>
      </c>
      <c r="BH21">
        <v>0.73689718404359472</v>
      </c>
    </row>
    <row r="22" spans="2:61" s="4" customFormat="1" x14ac:dyDescent="0.25">
      <c r="B22" s="4" t="s">
        <v>105</v>
      </c>
      <c r="C22" s="5" t="s">
        <v>43</v>
      </c>
      <c r="D22" s="6">
        <f t="shared" si="37"/>
        <v>184.99999999999997</v>
      </c>
      <c r="E22" s="7">
        <f t="shared" si="50"/>
        <v>0.12847222222222221</v>
      </c>
      <c r="F22" s="7">
        <v>0.54166666666666663</v>
      </c>
      <c r="G22" s="8">
        <v>9.9704999999999995</v>
      </c>
      <c r="H22" s="8">
        <v>19.032299999999999</v>
      </c>
      <c r="I22" s="8">
        <v>14.848599999999999</v>
      </c>
      <c r="J22" s="8">
        <f t="shared" si="1"/>
        <v>4.1837</v>
      </c>
      <c r="K22" s="8">
        <f t="shared" si="2"/>
        <v>4.8780999999999999</v>
      </c>
      <c r="L22" s="15">
        <v>176013</v>
      </c>
      <c r="M22" s="15">
        <v>35067</v>
      </c>
      <c r="N22" s="15">
        <v>10496000</v>
      </c>
      <c r="O22" s="15">
        <v>232254</v>
      </c>
      <c r="P22" s="15">
        <v>2460736</v>
      </c>
      <c r="Q22" s="5">
        <f t="shared" si="3"/>
        <v>22.118853836672745</v>
      </c>
      <c r="R22" s="5">
        <f t="shared" si="4"/>
        <v>7721.8109506700112</v>
      </c>
      <c r="S22" s="5">
        <f t="shared" si="5"/>
        <v>149.25387175312983</v>
      </c>
      <c r="T22" s="5">
        <f t="shared" si="0"/>
        <v>1.029016E-3</v>
      </c>
      <c r="U22" s="5">
        <f t="shared" si="6"/>
        <v>469.61336356361699</v>
      </c>
      <c r="V22" s="5">
        <f t="shared" si="7"/>
        <v>2.7385352935184525E-2</v>
      </c>
      <c r="W22" s="5">
        <f t="shared" si="8"/>
        <v>4.7084213113841527</v>
      </c>
      <c r="X22" s="5">
        <f t="shared" si="9"/>
        <v>0.26991070167835995</v>
      </c>
      <c r="Y22" s="5">
        <f t="shared" si="10"/>
        <v>6.2135073127999999E-6</v>
      </c>
      <c r="Z22" s="5">
        <f t="shared" si="11"/>
        <v>0.30853597986129638</v>
      </c>
      <c r="AA22" s="5">
        <f t="shared" si="12"/>
        <v>1.263716476250624E-3</v>
      </c>
      <c r="AB22" s="5">
        <f t="shared" si="13"/>
        <v>1.1428280206991617E-2</v>
      </c>
      <c r="AC22" s="5">
        <f t="shared" si="14"/>
        <v>0.16093224094845346</v>
      </c>
      <c r="AD22" s="5">
        <f t="shared" si="15"/>
        <v>3.6071538470399997E-8</v>
      </c>
      <c r="AE22" s="5">
        <f t="shared" si="16"/>
        <v>1.1298897527340623E-2</v>
      </c>
      <c r="AF22" s="5">
        <f t="shared" si="17"/>
        <v>1.2073663641772968E-4</v>
      </c>
      <c r="AG22" s="5">
        <f t="shared" si="18"/>
        <v>1.9754370534115603E-2</v>
      </c>
      <c r="AH22" s="5">
        <f t="shared" si="19"/>
        <v>1.9142689671824051E-3</v>
      </c>
      <c r="AI22" s="5">
        <f t="shared" si="20"/>
        <v>2.6171411116373819E-8</v>
      </c>
      <c r="AJ22" s="5">
        <f t="shared" si="21"/>
        <v>1.345939130973826E-3</v>
      </c>
      <c r="AK22" s="5">
        <f t="shared" si="22"/>
        <v>2.4750750582753465E-2</v>
      </c>
      <c r="AL22" s="5">
        <f t="shared" si="23"/>
        <v>4.0496034386575923</v>
      </c>
      <c r="AM22" s="5">
        <f t="shared" si="24"/>
        <v>0.39242101785170563</v>
      </c>
      <c r="AN22" s="5">
        <f t="shared" si="25"/>
        <v>5.3650829454857056E-6</v>
      </c>
      <c r="AO22" s="5">
        <f t="shared" si="26"/>
        <v>0.27591462474607448</v>
      </c>
      <c r="AP22" s="5">
        <f t="shared" si="46"/>
        <v>2.4750750582753465E-2</v>
      </c>
      <c r="AQ22" s="5">
        <f t="shared" si="29"/>
        <v>4.0496034386575923</v>
      </c>
      <c r="AR22" s="5">
        <f t="shared" si="47"/>
        <v>0.39242101785170563</v>
      </c>
      <c r="AS22" s="5">
        <f t="shared" si="31"/>
        <v>5.3650829454857056E-6</v>
      </c>
      <c r="AT22" s="5">
        <f t="shared" si="51"/>
        <v>0.27264000342210826</v>
      </c>
      <c r="AU22" s="4">
        <f>AP22</f>
        <v>2.4750750582753465E-2</v>
      </c>
      <c r="AV22" s="4">
        <f t="shared" ref="AV22:AY22" si="52">AQ22</f>
        <v>4.0496034386575923</v>
      </c>
      <c r="AW22" s="4">
        <f t="shared" si="52"/>
        <v>0.39242101785170563</v>
      </c>
      <c r="AX22" s="4">
        <f t="shared" si="52"/>
        <v>5.3650829454857056E-6</v>
      </c>
      <c r="AY22" s="4">
        <f t="shared" si="52"/>
        <v>0.27264000342210826</v>
      </c>
      <c r="AZ22" s="4">
        <f t="shared" si="48"/>
        <v>1</v>
      </c>
      <c r="BA22" s="4">
        <f t="shared" si="49"/>
        <v>1</v>
      </c>
      <c r="BB22" s="4">
        <f t="shared" si="34"/>
        <v>1</v>
      </c>
      <c r="BC22" s="4">
        <f t="shared" si="45"/>
        <v>1</v>
      </c>
      <c r="BD22" s="4">
        <f t="shared" si="36"/>
        <v>1</v>
      </c>
      <c r="BF22" t="s">
        <v>142</v>
      </c>
      <c r="BG22" s="12">
        <v>160.00000000000006</v>
      </c>
      <c r="BH22">
        <v>0.71424508452897428</v>
      </c>
      <c r="BI22" s="10"/>
    </row>
    <row r="23" spans="2:61" x14ac:dyDescent="0.25">
      <c r="B23" s="10" t="s">
        <v>106</v>
      </c>
      <c r="C23" s="14" t="s">
        <v>117</v>
      </c>
      <c r="D23" s="12">
        <f t="shared" si="37"/>
        <v>200.00000000000009</v>
      </c>
      <c r="E23" s="9">
        <f t="shared" si="50"/>
        <v>0.13888888888888895</v>
      </c>
      <c r="F23" s="9">
        <v>0.55208333333333337</v>
      </c>
      <c r="G23" s="11">
        <v>9.9487000000000005</v>
      </c>
      <c r="H23" s="11">
        <v>19.0397</v>
      </c>
      <c r="I23" s="11">
        <v>14.9091</v>
      </c>
      <c r="J23" s="11">
        <f t="shared" si="1"/>
        <v>4.1305999999999994</v>
      </c>
      <c r="K23" s="11">
        <f t="shared" si="2"/>
        <v>4.9603999999999999</v>
      </c>
      <c r="L23" s="17">
        <v>48878</v>
      </c>
      <c r="M23" s="17">
        <v>1052</v>
      </c>
      <c r="N23" s="17">
        <v>6713792</v>
      </c>
      <c r="O23" s="17">
        <v>61838</v>
      </c>
      <c r="P23" s="17">
        <v>660567</v>
      </c>
      <c r="Q23" s="14">
        <f t="shared" si="3"/>
        <v>9.1684917134387955</v>
      </c>
      <c r="R23" s="14">
        <f t="shared" si="4"/>
        <v>35.326418547895067</v>
      </c>
      <c r="S23" s="14">
        <f t="shared" si="5"/>
        <v>94.765404175010445</v>
      </c>
      <c r="T23" s="14">
        <f t="shared" si="0"/>
        <v>3.4735199999999999E-4</v>
      </c>
      <c r="U23" s="14">
        <f t="shared" si="6"/>
        <v>126.63256868498264</v>
      </c>
      <c r="V23" s="14">
        <f t="shared" si="7"/>
        <v>1.1351509590408572E-2</v>
      </c>
      <c r="W23" s="14">
        <f t="shared" si="8"/>
        <v>2.1540499114570164E-2</v>
      </c>
      <c r="X23" s="14">
        <f t="shared" si="9"/>
        <v>0.17137375691008888</v>
      </c>
      <c r="Y23" s="14">
        <f t="shared" si="10"/>
        <v>2.0974155815999997E-6</v>
      </c>
      <c r="Z23" s="14">
        <f t="shared" si="11"/>
        <v>8.3197597626033612E-2</v>
      </c>
      <c r="AA23" s="14">
        <f t="shared" si="12"/>
        <v>5.2382343706389861E-4</v>
      </c>
      <c r="AB23" s="14">
        <f t="shared" si="13"/>
        <v>5.2283099450884696E-5</v>
      </c>
      <c r="AC23" s="14">
        <f t="shared" si="14"/>
        <v>0.10218032322468414</v>
      </c>
      <c r="AD23" s="14">
        <f t="shared" si="15"/>
        <v>1.21762159488E-8</v>
      </c>
      <c r="AE23" s="14">
        <f t="shared" si="16"/>
        <v>3.0467796025606827E-3</v>
      </c>
      <c r="AF23" s="14">
        <f t="shared" si="17"/>
        <v>4.9486919291353402E-5</v>
      </c>
      <c r="AG23" s="14">
        <f t="shared" si="18"/>
        <v>8.9234530729159669E-5</v>
      </c>
      <c r="AH23" s="14">
        <f t="shared" si="19"/>
        <v>1.2147317156165362E-3</v>
      </c>
      <c r="AI23" s="14">
        <f t="shared" si="20"/>
        <v>8.7239837029493843E-9</v>
      </c>
      <c r="AJ23" s="14">
        <f t="shared" si="21"/>
        <v>3.5876924229463639E-4</v>
      </c>
      <c r="AK23" s="14">
        <f t="shared" si="22"/>
        <v>9.9763969218920664E-3</v>
      </c>
      <c r="AL23" s="14">
        <f t="shared" si="23"/>
        <v>1.7989382051681248E-2</v>
      </c>
      <c r="AM23" s="14">
        <f t="shared" si="24"/>
        <v>0.24488583896793328</v>
      </c>
      <c r="AN23" s="14">
        <f t="shared" si="25"/>
        <v>1.7587258493164634E-6</v>
      </c>
      <c r="AO23" s="14">
        <f t="shared" si="26"/>
        <v>7.2326675730714537E-2</v>
      </c>
      <c r="AP23" s="14">
        <f t="shared" si="46"/>
        <v>9.9763969218920664E-3</v>
      </c>
      <c r="AQ23" s="14">
        <f t="shared" si="29"/>
        <v>1.7989382051681248E-2</v>
      </c>
      <c r="AR23" s="14">
        <f t="shared" si="47"/>
        <v>0.24488583896793328</v>
      </c>
      <c r="AS23" s="14">
        <f t="shared" si="31"/>
        <v>1.7587258493164634E-6</v>
      </c>
      <c r="AT23" s="14">
        <f t="shared" si="51"/>
        <v>6.9052054406748303E-2</v>
      </c>
      <c r="AU23" s="10">
        <f>$AU$22+(($AU$27-$AU$22)/($D$27-$D$22))*(D23-$D$22)</f>
        <v>2.4437394126445449E-2</v>
      </c>
      <c r="AV23" s="10">
        <f>$AV$22+(($AV$27-$AV$22)/($D$27-$D$22))*(D23-$D$22)</f>
        <v>3.9253536713407273</v>
      </c>
      <c r="AW23" s="10">
        <f>$AW$22+(($AW$27-$AW$22)/($D$27-$D$22))*(D23-$D$22)</f>
        <v>0.38900201764073206</v>
      </c>
      <c r="AX23" s="10">
        <f>$AX$22+(($AX$27-$AX$22)/($D$27-$D$22))*(D23-$D$22)</f>
        <v>5.2690945349124925E-6</v>
      </c>
      <c r="AY23" s="10">
        <f>$AY$22+(($AY$27-$AY$22)/($D$27-$D$22))*(D23-$D$22)</f>
        <v>0.26871510059838566</v>
      </c>
      <c r="AZ23" s="10">
        <f t="shared" si="48"/>
        <v>0.40824307494782741</v>
      </c>
      <c r="BA23" s="10">
        <f t="shared" si="49"/>
        <v>4.5828691012030189E-3</v>
      </c>
      <c r="BB23" s="10">
        <f t="shared" si="34"/>
        <v>0.62952331315181209</v>
      </c>
      <c r="BC23" s="10">
        <f t="shared" si="45"/>
        <v>0.33378141873586098</v>
      </c>
      <c r="BD23" s="10">
        <f t="shared" si="36"/>
        <v>0.25697124669577703</v>
      </c>
      <c r="BF23" t="s">
        <v>129</v>
      </c>
      <c r="BG23" s="12">
        <v>170</v>
      </c>
      <c r="BH23">
        <v>0.83865564440477747</v>
      </c>
    </row>
    <row r="24" spans="2:61" x14ac:dyDescent="0.25">
      <c r="B24" s="10" t="s">
        <v>107</v>
      </c>
      <c r="C24" s="14" t="s">
        <v>117</v>
      </c>
      <c r="D24" s="12">
        <f t="shared" si="37"/>
        <v>231.00000000000014</v>
      </c>
      <c r="E24" s="9">
        <f t="shared" si="50"/>
        <v>0.16041666666666676</v>
      </c>
      <c r="F24" s="9">
        <v>0.57361111111111118</v>
      </c>
      <c r="G24" s="11">
        <v>9.8981999999999992</v>
      </c>
      <c r="H24" s="11">
        <v>19.017600000000002</v>
      </c>
      <c r="I24" s="11">
        <v>15.113899999999999</v>
      </c>
      <c r="J24" s="11">
        <f t="shared" si="1"/>
        <v>3.9037000000000024</v>
      </c>
      <c r="K24" s="11">
        <f t="shared" si="2"/>
        <v>5.2157</v>
      </c>
      <c r="L24" s="17">
        <v>64726</v>
      </c>
      <c r="M24" s="17">
        <v>1304</v>
      </c>
      <c r="N24" s="17">
        <v>7533275</v>
      </c>
      <c r="O24" s="17">
        <v>76797</v>
      </c>
      <c r="P24" s="17">
        <v>829433</v>
      </c>
      <c r="Q24" s="14">
        <f t="shared" si="3"/>
        <v>10.782817736398732</v>
      </c>
      <c r="R24" s="14">
        <f t="shared" si="4"/>
        <v>92.271710392515772</v>
      </c>
      <c r="S24" s="14">
        <f t="shared" si="5"/>
        <v>106.57130508694337</v>
      </c>
      <c r="T24" s="14">
        <f t="shared" si="0"/>
        <v>4.0718800000000001E-4</v>
      </c>
      <c r="U24" s="14">
        <f t="shared" si="6"/>
        <v>158.80610067446554</v>
      </c>
      <c r="V24" s="14">
        <f t="shared" si="7"/>
        <v>1.335020663943527E-2</v>
      </c>
      <c r="W24" s="14">
        <f t="shared" si="8"/>
        <v>5.6263238044216936E-2</v>
      </c>
      <c r="X24" s="14">
        <f t="shared" si="9"/>
        <v>0.1927235481192284</v>
      </c>
      <c r="Y24" s="14">
        <f t="shared" si="10"/>
        <v>2.4587233003999995E-6</v>
      </c>
      <c r="Z24" s="14">
        <f t="shared" si="11"/>
        <v>0.10433560814312387</v>
      </c>
      <c r="AA24" s="14">
        <f t="shared" si="12"/>
        <v>6.1605472573366879E-4</v>
      </c>
      <c r="AB24" s="14">
        <f t="shared" si="13"/>
        <v>1.3656213138092335E-4</v>
      </c>
      <c r="AC24" s="14">
        <f t="shared" si="14"/>
        <v>0.11490997685347126</v>
      </c>
      <c r="AD24" s="14">
        <f t="shared" si="15"/>
        <v>1.4273731027200001E-8</v>
      </c>
      <c r="AE24" s="14">
        <f t="shared" si="16"/>
        <v>3.8208747822276404E-3</v>
      </c>
      <c r="AF24" s="14">
        <f t="shared" si="17"/>
        <v>5.5328358291372594E-5</v>
      </c>
      <c r="AG24" s="14">
        <f t="shared" si="18"/>
        <v>2.2034706946185328E-4</v>
      </c>
      <c r="AH24" s="14">
        <f t="shared" si="19"/>
        <v>1.3516708810676825E-3</v>
      </c>
      <c r="AI24" s="14">
        <f t="shared" si="20"/>
        <v>9.6725656466900513E-9</v>
      </c>
      <c r="AJ24" s="14">
        <f t="shared" si="21"/>
        <v>4.2722345010997762E-4</v>
      </c>
      <c r="AK24" s="14">
        <f t="shared" si="22"/>
        <v>1.0608040779065627E-2</v>
      </c>
      <c r="AL24" s="14">
        <f t="shared" si="23"/>
        <v>4.2246883344872845E-2</v>
      </c>
      <c r="AM24" s="14">
        <f t="shared" si="24"/>
        <v>0.25915426137770242</v>
      </c>
      <c r="AN24" s="14">
        <f t="shared" si="25"/>
        <v>1.8545095858063255E-6</v>
      </c>
      <c r="AO24" s="14">
        <f t="shared" si="26"/>
        <v>8.1911047435622747E-2</v>
      </c>
      <c r="AP24" s="14">
        <f t="shared" si="46"/>
        <v>1.0608040779065627E-2</v>
      </c>
      <c r="AQ24" s="14">
        <f t="shared" si="29"/>
        <v>4.2246883344872845E-2</v>
      </c>
      <c r="AR24" s="14">
        <f t="shared" si="47"/>
        <v>0.25915426137770242</v>
      </c>
      <c r="AS24" s="14">
        <f t="shared" si="31"/>
        <v>1.8545095858063255E-6</v>
      </c>
      <c r="AT24" s="14">
        <f t="shared" si="51"/>
        <v>7.8636426111656513E-2</v>
      </c>
      <c r="AU24" s="10">
        <f t="shared" ref="AU24:AU26" si="53">$AU$22+(($AU$27-$AU$22)/($D$27-$D$22))*(D24-$D$22)</f>
        <v>2.3789790783408881E-2</v>
      </c>
      <c r="AV24" s="10">
        <f t="shared" ref="AV24:AV26" si="54">$AV$22+(($AV$27-$AV$22)/($D$27-$D$22))*(D24-$D$22)</f>
        <v>3.668570818885875</v>
      </c>
      <c r="AW24" s="10">
        <f t="shared" ref="AW24:AW26" si="55">$AW$22+(($AW$27-$AW$22)/($D$27-$D$22))*(D24-$D$22)</f>
        <v>0.38193608387138667</v>
      </c>
      <c r="AX24" s="10">
        <f t="shared" ref="AX24:AX26" si="56">$AX$22+(($AX$27-$AX$22)/($D$27-$D$22))*(D24-$D$22)</f>
        <v>5.0707184863945199E-6</v>
      </c>
      <c r="AY24" s="10">
        <f t="shared" ref="AY24:AY26" si="57">$AY$22+(($AY$27-$AY$22)/($D$27-$D$22))*(D24-$D$22)</f>
        <v>0.26060363476269244</v>
      </c>
      <c r="AZ24" s="10">
        <f t="shared" si="48"/>
        <v>0.44590727491658849</v>
      </c>
      <c r="BA24" s="10">
        <f t="shared" si="49"/>
        <v>1.1515896906605988E-2</v>
      </c>
      <c r="BB24" s="10">
        <f t="shared" si="34"/>
        <v>0.67852782787857813</v>
      </c>
      <c r="BC24" s="10">
        <f t="shared" si="45"/>
        <v>0.36572915471096379</v>
      </c>
      <c r="BD24" s="10">
        <f t="shared" si="36"/>
        <v>0.3017472345819866</v>
      </c>
      <c r="BF24" t="s">
        <v>143</v>
      </c>
      <c r="BG24" s="12">
        <v>181</v>
      </c>
      <c r="BH24">
        <v>0.78060492544888593</v>
      </c>
    </row>
    <row r="25" spans="2:61" x14ac:dyDescent="0.25">
      <c r="B25" s="10" t="s">
        <v>108</v>
      </c>
      <c r="C25" s="14" t="s">
        <v>117</v>
      </c>
      <c r="D25" s="12">
        <f t="shared" si="37"/>
        <v>261.00000000000006</v>
      </c>
      <c r="E25" s="9">
        <f t="shared" si="50"/>
        <v>0.18125000000000002</v>
      </c>
      <c r="F25" s="9">
        <v>0.59444444444444444</v>
      </c>
      <c r="G25" s="11">
        <v>9.9986999999999995</v>
      </c>
      <c r="H25" s="11">
        <v>19.1629</v>
      </c>
      <c r="I25" s="11">
        <v>15.287100000000001</v>
      </c>
      <c r="J25" s="11">
        <f t="shared" si="1"/>
        <v>3.8757999999999999</v>
      </c>
      <c r="K25" s="11">
        <f t="shared" si="2"/>
        <v>5.2884000000000011</v>
      </c>
      <c r="L25" s="17">
        <v>69894</v>
      </c>
      <c r="M25" s="17">
        <v>1557</v>
      </c>
      <c r="N25" s="17">
        <v>8172327</v>
      </c>
      <c r="O25" s="17">
        <v>84600</v>
      </c>
      <c r="P25" s="17">
        <v>928454</v>
      </c>
      <c r="Q25" s="14">
        <f t="shared" si="3"/>
        <v>11.309246111377087</v>
      </c>
      <c r="R25" s="14">
        <f t="shared" si="4"/>
        <v>149.44297561747226</v>
      </c>
      <c r="S25" s="14">
        <f t="shared" si="5"/>
        <v>115.7778225980724</v>
      </c>
      <c r="T25" s="14">
        <f t="shared" si="0"/>
        <v>4.3840000000000003E-4</v>
      </c>
      <c r="U25" s="14">
        <f t="shared" si="6"/>
        <v>177.67227451129824</v>
      </c>
      <c r="V25" s="14">
        <f t="shared" si="7"/>
        <v>1.400197761049597E-2</v>
      </c>
      <c r="W25" s="14">
        <f t="shared" si="8"/>
        <v>9.1123765620409899E-2</v>
      </c>
      <c r="X25" s="14">
        <f t="shared" si="9"/>
        <v>0.20937261438635413</v>
      </c>
      <c r="Y25" s="14">
        <f t="shared" si="10"/>
        <v>2.64719072E-6</v>
      </c>
      <c r="Z25" s="14">
        <f t="shared" si="11"/>
        <v>0.11673068435392296</v>
      </c>
      <c r="AA25" s="14">
        <f t="shared" si="12"/>
        <v>6.4613115808130714E-4</v>
      </c>
      <c r="AB25" s="14">
        <f t="shared" si="13"/>
        <v>2.2117560391385894E-4</v>
      </c>
      <c r="AC25" s="14">
        <f t="shared" si="14"/>
        <v>0.1248368583272586</v>
      </c>
      <c r="AD25" s="14">
        <f t="shared" si="15"/>
        <v>1.5367848960000001E-8</v>
      </c>
      <c r="AE25" s="14">
        <f t="shared" si="16"/>
        <v>4.2747949247418354E-3</v>
      </c>
      <c r="AF25" s="14">
        <f t="shared" si="17"/>
        <v>5.768586483915747E-5</v>
      </c>
      <c r="AG25" s="14">
        <f t="shared" si="18"/>
        <v>3.5434715585532271E-4</v>
      </c>
      <c r="AH25" s="14">
        <f t="shared" si="19"/>
        <v>1.4716736204165059E-3</v>
      </c>
      <c r="AI25" s="14">
        <f t="shared" si="20"/>
        <v>1.0341253125016064E-8</v>
      </c>
      <c r="AJ25" s="14">
        <f t="shared" si="21"/>
        <v>4.7503161189893929E-4</v>
      </c>
      <c r="AK25" s="14">
        <f t="shared" si="22"/>
        <v>1.0907999553580943E-2</v>
      </c>
      <c r="AL25" s="14">
        <f t="shared" si="23"/>
        <v>6.70046055244162E-2</v>
      </c>
      <c r="AM25" s="14">
        <f t="shared" si="24"/>
        <v>0.27828334097581603</v>
      </c>
      <c r="AN25" s="14">
        <f t="shared" si="25"/>
        <v>1.9554597089887417E-6</v>
      </c>
      <c r="AO25" s="14">
        <f t="shared" si="26"/>
        <v>8.9825204579634527E-2</v>
      </c>
      <c r="AP25" s="14">
        <f t="shared" si="46"/>
        <v>1.0907999553580943E-2</v>
      </c>
      <c r="AQ25" s="14">
        <f t="shared" si="29"/>
        <v>6.70046055244162E-2</v>
      </c>
      <c r="AR25" s="14">
        <f t="shared" si="47"/>
        <v>0.27828334097581603</v>
      </c>
      <c r="AS25" s="14">
        <f t="shared" si="31"/>
        <v>1.9554597089887417E-6</v>
      </c>
      <c r="AT25" s="14">
        <f t="shared" si="51"/>
        <v>8.6550583255668292E-2</v>
      </c>
      <c r="AU25" s="10">
        <f t="shared" si="53"/>
        <v>2.3163077870792855E-2</v>
      </c>
      <c r="AV25" s="10">
        <f t="shared" si="54"/>
        <v>3.4200712842521481</v>
      </c>
      <c r="AW25" s="10">
        <f t="shared" si="55"/>
        <v>0.37509808344943957</v>
      </c>
      <c r="AX25" s="10">
        <f t="shared" si="56"/>
        <v>4.8787416652480962E-6</v>
      </c>
      <c r="AY25" s="10">
        <f t="shared" si="57"/>
        <v>0.25275382911524735</v>
      </c>
      <c r="AZ25" s="10">
        <f t="shared" si="48"/>
        <v>0.4709218530640622</v>
      </c>
      <c r="BA25" s="10">
        <f t="shared" si="49"/>
        <v>1.9591581565256116E-2</v>
      </c>
      <c r="BB25" s="10">
        <f t="shared" si="34"/>
        <v>0.74189486231626278</v>
      </c>
      <c r="BC25" s="10">
        <f t="shared" si="45"/>
        <v>0.40081230841094384</v>
      </c>
      <c r="BD25" s="10">
        <f t="shared" si="36"/>
        <v>0.34243035430416408</v>
      </c>
      <c r="BF25" t="s">
        <v>43</v>
      </c>
      <c r="BG25" s="6">
        <v>184.99999999999997</v>
      </c>
      <c r="BH25"/>
    </row>
    <row r="26" spans="2:61" x14ac:dyDescent="0.25">
      <c r="B26" s="10" t="s">
        <v>109</v>
      </c>
      <c r="C26" s="14" t="s">
        <v>117</v>
      </c>
      <c r="D26" s="12">
        <f t="shared" si="37"/>
        <v>290.00000000000011</v>
      </c>
      <c r="E26" s="9">
        <f t="shared" si="50"/>
        <v>0.20138888888888895</v>
      </c>
      <c r="F26" s="9">
        <v>0.61458333333333337</v>
      </c>
      <c r="G26" s="11">
        <v>10.027900000000001</v>
      </c>
      <c r="H26" s="11">
        <v>19.1554</v>
      </c>
      <c r="I26" s="11">
        <v>15.267899999999999</v>
      </c>
      <c r="J26" s="11">
        <f t="shared" si="1"/>
        <v>3.8875000000000011</v>
      </c>
      <c r="K26" s="11">
        <f t="shared" si="2"/>
        <v>5.2399999999999984</v>
      </c>
      <c r="L26" s="17">
        <v>77078</v>
      </c>
      <c r="M26" s="17">
        <v>1741</v>
      </c>
      <c r="N26" s="17">
        <v>8371426</v>
      </c>
      <c r="O26" s="17">
        <v>96123</v>
      </c>
      <c r="P26" s="17">
        <v>1013273</v>
      </c>
      <c r="Q26" s="14">
        <f t="shared" si="3"/>
        <v>12.041030446873313</v>
      </c>
      <c r="R26" s="14">
        <f t="shared" si="4"/>
        <v>191.02207759925881</v>
      </c>
      <c r="S26" s="14">
        <f t="shared" si="5"/>
        <v>118.64614697535043</v>
      </c>
      <c r="T26" s="14">
        <f t="shared" si="0"/>
        <v>4.84492E-4</v>
      </c>
      <c r="U26" s="14">
        <f t="shared" si="6"/>
        <v>193.83258392714245</v>
      </c>
      <c r="V26" s="14">
        <f t="shared" si="7"/>
        <v>1.4907999796273847E-2</v>
      </c>
      <c r="W26" s="14">
        <f t="shared" si="8"/>
        <v>0.1164768765849139</v>
      </c>
      <c r="X26" s="14">
        <f t="shared" si="9"/>
        <v>0.21455969219022372</v>
      </c>
      <c r="Y26" s="14">
        <f t="shared" si="10"/>
        <v>2.9255080435999994E-6</v>
      </c>
      <c r="Z26" s="14">
        <f t="shared" si="11"/>
        <v>0.1273480076401326</v>
      </c>
      <c r="AA26" s="14">
        <f t="shared" si="12"/>
        <v>6.87940192521213E-4</v>
      </c>
      <c r="AB26" s="14">
        <f t="shared" si="13"/>
        <v>2.8271267484690304E-4</v>
      </c>
      <c r="AC26" s="14">
        <f t="shared" si="14"/>
        <v>0.12792961474543674</v>
      </c>
      <c r="AD26" s="14">
        <f t="shared" si="15"/>
        <v>1.69835763648E-8</v>
      </c>
      <c r="AE26" s="14">
        <f t="shared" si="16"/>
        <v>4.663611969287048E-3</v>
      </c>
      <c r="AF26" s="14">
        <f t="shared" si="17"/>
        <v>6.1559655816825743E-5</v>
      </c>
      <c r="AG26" s="14">
        <f t="shared" si="18"/>
        <v>4.5428527214005064E-4</v>
      </c>
      <c r="AH26" s="14">
        <f t="shared" si="19"/>
        <v>1.5044519846555832E-3</v>
      </c>
      <c r="AI26" s="14">
        <f t="shared" si="20"/>
        <v>1.1461906459646552E-8</v>
      </c>
      <c r="AJ26" s="14">
        <f t="shared" si="21"/>
        <v>5.1950270642007969E-4</v>
      </c>
      <c r="AK26" s="14">
        <f t="shared" si="22"/>
        <v>1.1748025919241557E-2</v>
      </c>
      <c r="AL26" s="14">
        <f t="shared" si="23"/>
        <v>8.6695662622147091E-2</v>
      </c>
      <c r="AM26" s="14">
        <f t="shared" si="24"/>
        <v>0.28710915737701975</v>
      </c>
      <c r="AN26" s="14">
        <f t="shared" si="25"/>
        <v>2.1873867289401822E-6</v>
      </c>
      <c r="AO26" s="14">
        <f t="shared" si="26"/>
        <v>9.9141737866427451E-2</v>
      </c>
      <c r="AP26" s="14">
        <f t="shared" si="46"/>
        <v>1.1748025919241557E-2</v>
      </c>
      <c r="AQ26" s="14">
        <f t="shared" si="29"/>
        <v>8.6695662622147091E-2</v>
      </c>
      <c r="AR26" s="14">
        <f t="shared" si="47"/>
        <v>0.28710915737701975</v>
      </c>
      <c r="AS26" s="14">
        <f t="shared" si="31"/>
        <v>2.1873867289401822E-6</v>
      </c>
      <c r="AT26" s="14">
        <f t="shared" si="51"/>
        <v>9.5867116542461217E-2</v>
      </c>
      <c r="AU26" s="10">
        <f t="shared" si="53"/>
        <v>2.2557255388597357E-2</v>
      </c>
      <c r="AV26" s="10">
        <f t="shared" si="54"/>
        <v>3.179855067439544</v>
      </c>
      <c r="AW26" s="10">
        <f t="shared" si="55"/>
        <v>0.3684880163748907</v>
      </c>
      <c r="AX26" s="10">
        <f t="shared" si="56"/>
        <v>4.6931640714732187E-6</v>
      </c>
      <c r="AY26" s="10">
        <f t="shared" si="57"/>
        <v>0.24516568365605043</v>
      </c>
      <c r="AZ26" s="10">
        <f t="shared" si="48"/>
        <v>0.52080919051792784</v>
      </c>
      <c r="BA26" s="10">
        <f t="shared" si="49"/>
        <v>2.7264029581057427E-2</v>
      </c>
      <c r="BB26" s="10">
        <f t="shared" si="34"/>
        <v>0.77915466614502304</v>
      </c>
      <c r="BC26" s="10">
        <f t="shared" si="45"/>
        <v>0.46607932210082426</v>
      </c>
      <c r="BD26" s="10">
        <f t="shared" si="36"/>
        <v>0.39102991541408294</v>
      </c>
      <c r="BF26" t="s">
        <v>130</v>
      </c>
      <c r="BG26" s="12">
        <v>191</v>
      </c>
      <c r="BH26">
        <v>0.90866093974158135</v>
      </c>
    </row>
    <row r="27" spans="2:61" s="4" customFormat="1" x14ac:dyDescent="0.25">
      <c r="B27" s="4" t="s">
        <v>110</v>
      </c>
      <c r="C27" s="5" t="s">
        <v>44</v>
      </c>
      <c r="D27" s="6">
        <f t="shared" si="37"/>
        <v>306.00000000000006</v>
      </c>
      <c r="E27" s="7">
        <f t="shared" si="50"/>
        <v>0.21250000000000002</v>
      </c>
      <c r="F27" s="7">
        <v>0.62569444444444444</v>
      </c>
      <c r="G27" s="8">
        <v>9.8817000000000004</v>
      </c>
      <c r="H27" s="8">
        <v>18.947500000000002</v>
      </c>
      <c r="I27" s="8">
        <v>15.1515</v>
      </c>
      <c r="J27" s="8">
        <f t="shared" si="1"/>
        <v>3.7960000000000012</v>
      </c>
      <c r="K27" s="8">
        <f t="shared" si="2"/>
        <v>5.2698</v>
      </c>
      <c r="L27" s="15">
        <v>188766</v>
      </c>
      <c r="M27" s="15">
        <v>31495</v>
      </c>
      <c r="N27" s="15">
        <v>10772493</v>
      </c>
      <c r="O27" s="15">
        <v>236754</v>
      </c>
      <c r="P27" s="15">
        <v>2573734</v>
      </c>
      <c r="Q27" s="5">
        <f t="shared" si="3"/>
        <v>23.417913640484461</v>
      </c>
      <c r="R27" s="5">
        <f t="shared" si="4"/>
        <v>6914.6340361105467</v>
      </c>
      <c r="S27" s="5">
        <f t="shared" si="5"/>
        <v>153.23717459265555</v>
      </c>
      <c r="T27" s="5">
        <f t="shared" si="0"/>
        <v>1.047016E-3</v>
      </c>
      <c r="U27" s="5">
        <f t="shared" si="6"/>
        <v>491.14253324696108</v>
      </c>
      <c r="V27" s="5">
        <f t="shared" si="7"/>
        <v>2.8993718878283808E-2</v>
      </c>
      <c r="W27" s="5">
        <f t="shared" si="8"/>
        <v>4.2162402659210647</v>
      </c>
      <c r="X27" s="5">
        <f t="shared" si="9"/>
        <v>0.27711410653335827</v>
      </c>
      <c r="Y27" s="5">
        <f t="shared" si="10"/>
        <v>6.3221967127999991E-6</v>
      </c>
      <c r="Z27" s="5">
        <f t="shared" si="11"/>
        <v>0.32268064434325344</v>
      </c>
      <c r="AA27" s="5">
        <f t="shared" si="12"/>
        <v>1.3379356600217989E-3</v>
      </c>
      <c r="AB27" s="5">
        <f t="shared" si="13"/>
        <v>1.0233658373443609E-2</v>
      </c>
      <c r="AC27" s="5">
        <f t="shared" si="14"/>
        <v>0.16522721731865789</v>
      </c>
      <c r="AD27" s="5">
        <f t="shared" si="15"/>
        <v>3.6702517670399998E-8</v>
      </c>
      <c r="AE27" s="5">
        <f t="shared" si="16"/>
        <v>1.1816889349921884E-2</v>
      </c>
      <c r="AF27" s="5">
        <f t="shared" si="17"/>
        <v>1.1711081020314825E-4</v>
      </c>
      <c r="AG27" s="5">
        <f t="shared" si="18"/>
        <v>1.6058777382332742E-2</v>
      </c>
      <c r="AH27" s="5">
        <f t="shared" si="19"/>
        <v>1.9226395382264914E-3</v>
      </c>
      <c r="AI27" s="5">
        <f t="shared" si="20"/>
        <v>2.4192473649408277E-8</v>
      </c>
      <c r="AJ27" s="5">
        <f t="shared" si="21"/>
        <v>1.2871683694232086E-3</v>
      </c>
      <c r="AK27" s="5">
        <f t="shared" si="22"/>
        <v>2.2223008501868809E-2</v>
      </c>
      <c r="AL27" s="5">
        <f t="shared" si="23"/>
        <v>3.0473219823015563</v>
      </c>
      <c r="AM27" s="5">
        <f t="shared" si="24"/>
        <v>0.36484108281651889</v>
      </c>
      <c r="AN27" s="5">
        <f t="shared" si="25"/>
        <v>4.5907764335284593E-6</v>
      </c>
      <c r="AO27" s="5">
        <f t="shared" si="26"/>
        <v>0.24425374196804597</v>
      </c>
      <c r="AP27" s="5">
        <f t="shared" si="46"/>
        <v>2.2223008501868809E-2</v>
      </c>
      <c r="AQ27" s="5">
        <f t="shared" si="29"/>
        <v>3.0473219823015563</v>
      </c>
      <c r="AR27" s="5">
        <f t="shared" si="47"/>
        <v>0.36484108281651889</v>
      </c>
      <c r="AS27" s="5">
        <f t="shared" si="31"/>
        <v>4.5907764335284593E-6</v>
      </c>
      <c r="AT27" s="5">
        <f t="shared" si="51"/>
        <v>0.24097912064407973</v>
      </c>
      <c r="AU27" s="4">
        <f>AP27</f>
        <v>2.2223008501868809E-2</v>
      </c>
      <c r="AV27" s="4">
        <f t="shared" ref="AV27:AY27" si="58">AQ27</f>
        <v>3.0473219823015563</v>
      </c>
      <c r="AW27" s="4">
        <f t="shared" si="58"/>
        <v>0.36484108281651889</v>
      </c>
      <c r="AX27" s="4">
        <f t="shared" si="58"/>
        <v>4.5907764335284593E-6</v>
      </c>
      <c r="AY27" s="4">
        <f t="shared" si="58"/>
        <v>0.24097912064407973</v>
      </c>
      <c r="AZ27" s="4">
        <f t="shared" si="48"/>
        <v>1</v>
      </c>
      <c r="BA27" s="4">
        <f t="shared" si="49"/>
        <v>1</v>
      </c>
      <c r="BB27" s="4">
        <f t="shared" si="34"/>
        <v>1</v>
      </c>
      <c r="BC27" s="4">
        <f t="shared" si="45"/>
        <v>1</v>
      </c>
      <c r="BD27" s="4">
        <f t="shared" si="36"/>
        <v>1</v>
      </c>
      <c r="BF27" t="s">
        <v>144</v>
      </c>
      <c r="BG27" s="12">
        <v>200.00000000000009</v>
      </c>
      <c r="BH27">
        <v>0.86881235180520711</v>
      </c>
      <c r="BI27" s="10"/>
    </row>
    <row r="28" spans="2:61" x14ac:dyDescent="0.25">
      <c r="B28" s="10" t="s">
        <v>111</v>
      </c>
      <c r="C28" s="14" t="s">
        <v>117</v>
      </c>
      <c r="D28" s="12">
        <f t="shared" si="37"/>
        <v>335.00000000000011</v>
      </c>
      <c r="E28" s="9">
        <f t="shared" si="50"/>
        <v>0.23263888888888895</v>
      </c>
      <c r="F28" s="9">
        <v>0.64583333333333337</v>
      </c>
      <c r="G28" s="11">
        <v>9.8344000000000005</v>
      </c>
      <c r="H28" s="11">
        <v>18.952500000000001</v>
      </c>
      <c r="I28" s="11">
        <v>14.507400000000001</v>
      </c>
      <c r="J28" s="11">
        <f t="shared" si="1"/>
        <v>4.4451000000000001</v>
      </c>
      <c r="K28" s="11">
        <f t="shared" si="2"/>
        <v>4.673</v>
      </c>
      <c r="L28" s="17">
        <v>70260</v>
      </c>
      <c r="M28" s="17">
        <v>1656</v>
      </c>
      <c r="N28" s="17">
        <v>7414565</v>
      </c>
      <c r="O28" s="17">
        <v>87552</v>
      </c>
      <c r="P28" s="17">
        <v>930050</v>
      </c>
      <c r="Q28" s="14">
        <f t="shared" si="3"/>
        <v>11.346527997066342</v>
      </c>
      <c r="R28" s="14">
        <f t="shared" si="4"/>
        <v>171.81434027071612</v>
      </c>
      <c r="S28" s="14">
        <f t="shared" si="5"/>
        <v>104.86110670911789</v>
      </c>
      <c r="T28" s="14">
        <f t="shared" si="0"/>
        <v>4.5020800000000001E-4</v>
      </c>
      <c r="U28" s="14">
        <f t="shared" si="6"/>
        <v>177.97635559958843</v>
      </c>
      <c r="V28" s="14">
        <f t="shared" si="7"/>
        <v>1.404813631316784E-2</v>
      </c>
      <c r="W28" s="14">
        <f t="shared" si="8"/>
        <v>0.10476484162848544</v>
      </c>
      <c r="X28" s="14">
        <f t="shared" si="9"/>
        <v>0.18963082537276879</v>
      </c>
      <c r="Y28" s="14">
        <f t="shared" si="10"/>
        <v>2.7184909663999998E-6</v>
      </c>
      <c r="Z28" s="14">
        <f t="shared" si="11"/>
        <v>0.11693046562892961</v>
      </c>
      <c r="AA28" s="14">
        <f t="shared" si="12"/>
        <v>6.4826118405639135E-4</v>
      </c>
      <c r="AB28" s="14">
        <f t="shared" si="13"/>
        <v>2.5428522360065989E-4</v>
      </c>
      <c r="AC28" s="14">
        <f t="shared" si="14"/>
        <v>0.11306596400357281</v>
      </c>
      <c r="AD28" s="14">
        <f t="shared" si="15"/>
        <v>1.57817713152E-8</v>
      </c>
      <c r="AE28" s="14">
        <f t="shared" si="16"/>
        <v>4.2821111157260979E-3</v>
      </c>
      <c r="AF28" s="14">
        <f t="shared" si="17"/>
        <v>6.5474695238757884E-5</v>
      </c>
      <c r="AG28" s="14">
        <f t="shared" si="18"/>
        <v>4.6687847237266653E-4</v>
      </c>
      <c r="AH28" s="14">
        <f t="shared" si="19"/>
        <v>1.3712852316531904E-3</v>
      </c>
      <c r="AI28" s="14">
        <f t="shared" si="20"/>
        <v>1.215771241210057E-8</v>
      </c>
      <c r="AJ28" s="14">
        <f t="shared" si="21"/>
        <v>5.3977791801094305E-4</v>
      </c>
      <c r="AK28" s="14">
        <f t="shared" si="22"/>
        <v>1.4011276533010462E-2</v>
      </c>
      <c r="AL28" s="14">
        <f t="shared" si="23"/>
        <v>9.9909795072259042E-2</v>
      </c>
      <c r="AM28" s="14">
        <f t="shared" si="24"/>
        <v>0.29344858370494126</v>
      </c>
      <c r="AN28" s="14">
        <f t="shared" si="25"/>
        <v>2.601693218938705E-6</v>
      </c>
      <c r="AO28" s="14">
        <f t="shared" si="26"/>
        <v>0.11550993323581062</v>
      </c>
      <c r="AP28" s="14">
        <f t="shared" si="46"/>
        <v>1.4011276533010462E-2</v>
      </c>
      <c r="AQ28" s="14">
        <f t="shared" si="29"/>
        <v>9.9909795072259042E-2</v>
      </c>
      <c r="AR28" s="14">
        <f t="shared" si="47"/>
        <v>0.29344858370494126</v>
      </c>
      <c r="AS28" s="14">
        <f t="shared" si="31"/>
        <v>2.601693218938705E-6</v>
      </c>
      <c r="AT28" s="14">
        <f t="shared" si="51"/>
        <v>0.11223531191184438</v>
      </c>
      <c r="AU28" s="10">
        <f>$AU$27+(($AU$30-$AU$27)/($D$30-$D$27))*(D28-$D$27)</f>
        <v>2.2488552471865257E-2</v>
      </c>
      <c r="AV28" s="10">
        <f>$AV$27+(($AV$30-$AV$27)/($D$30-$D$27))*(D28-$D$27)</f>
        <v>3.0304048469219071</v>
      </c>
      <c r="AW28" s="10">
        <f>$AW$27+(($AW$30-$AW$27)/($D$30-$D$27))*(D28-$D$27)</f>
        <v>0.36766937850372988</v>
      </c>
      <c r="AX28" s="10">
        <f>$AX$27+(($AX$30-$AX$27)/($D$30-$D$27))*(D28-$D$27)</f>
        <v>4.632566954569814E-6</v>
      </c>
      <c r="AY28" s="10">
        <f>$AY$27+(($AY$30-$AY$27)/($D$30-$D$27))*(D28-$D$27)</f>
        <v>0.24242461539836987</v>
      </c>
      <c r="AZ28" s="10">
        <f t="shared" si="48"/>
        <v>0.62304039135197975</v>
      </c>
      <c r="BA28" s="10">
        <f t="shared" si="49"/>
        <v>3.2969124628262479E-2</v>
      </c>
      <c r="BB28" s="10">
        <f t="shared" si="34"/>
        <v>0.79813169347733515</v>
      </c>
      <c r="BC28" s="10">
        <f t="shared" ref="BC28:BC36" si="59">AS28/AX28</f>
        <v>0.56160941535281095</v>
      </c>
      <c r="BD28" s="10">
        <f t="shared" si="36"/>
        <v>0.46296994934862989</v>
      </c>
      <c r="BF28" t="s">
        <v>131</v>
      </c>
      <c r="BG28" s="12">
        <v>212</v>
      </c>
      <c r="BH28">
        <v>0.94818269383368259</v>
      </c>
    </row>
    <row r="29" spans="2:61" x14ac:dyDescent="0.25">
      <c r="B29" s="10" t="s">
        <v>112</v>
      </c>
      <c r="C29" s="14" t="s">
        <v>117</v>
      </c>
      <c r="D29" s="12">
        <f t="shared" si="37"/>
        <v>396.00000000000006</v>
      </c>
      <c r="E29" s="9">
        <f t="shared" si="50"/>
        <v>0.27500000000000002</v>
      </c>
      <c r="F29" s="9">
        <v>0.68819444444444444</v>
      </c>
      <c r="G29" s="11">
        <v>10.008599999999999</v>
      </c>
      <c r="H29" s="11">
        <v>18.805099999999999</v>
      </c>
      <c r="I29" s="11">
        <v>14.6173</v>
      </c>
      <c r="J29" s="11">
        <f t="shared" si="1"/>
        <v>4.1877999999999993</v>
      </c>
      <c r="K29" s="11">
        <f t="shared" si="2"/>
        <v>4.6087000000000007</v>
      </c>
      <c r="L29" s="17">
        <v>85080</v>
      </c>
      <c r="M29" s="17">
        <v>2364</v>
      </c>
      <c r="N29" s="17">
        <v>6679732</v>
      </c>
      <c r="O29" s="17">
        <v>107799</v>
      </c>
      <c r="P29" s="17">
        <v>1144641</v>
      </c>
      <c r="Q29" s="14">
        <f t="shared" si="3"/>
        <v>12.85613877825427</v>
      </c>
      <c r="R29" s="14">
        <f t="shared" si="4"/>
        <v>331.80349354845998</v>
      </c>
      <c r="S29" s="14">
        <f t="shared" si="5"/>
        <v>94.274717992306918</v>
      </c>
      <c r="T29" s="14">
        <f t="shared" si="0"/>
        <v>5.3119600000000006E-4</v>
      </c>
      <c r="U29" s="14">
        <f t="shared" si="6"/>
        <v>218.8617345577868</v>
      </c>
      <c r="V29" s="14">
        <f t="shared" si="7"/>
        <v>1.591718542135661E-2</v>
      </c>
      <c r="W29" s="14">
        <f t="shared" si="8"/>
        <v>0.2023192033832073</v>
      </c>
      <c r="X29" s="14">
        <f t="shared" si="9"/>
        <v>0.17048640001728785</v>
      </c>
      <c r="Y29" s="14">
        <f t="shared" si="10"/>
        <v>3.2075208068000003E-6</v>
      </c>
      <c r="Z29" s="14">
        <f t="shared" si="11"/>
        <v>0.14379215960446592</v>
      </c>
      <c r="AA29" s="14">
        <f t="shared" si="12"/>
        <v>7.3450977681800125E-4</v>
      </c>
      <c r="AB29" s="14">
        <f t="shared" si="13"/>
        <v>4.9106917045172078E-4</v>
      </c>
      <c r="AC29" s="14">
        <f t="shared" si="14"/>
        <v>0.10165124330161497</v>
      </c>
      <c r="AD29" s="14">
        <f t="shared" si="15"/>
        <v>1.8620757062400004E-8</v>
      </c>
      <c r="AE29" s="14">
        <f t="shared" si="16"/>
        <v>5.2658133334603499E-3</v>
      </c>
      <c r="AF29" s="14">
        <f t="shared" si="17"/>
        <v>7.0043124315978322E-5</v>
      </c>
      <c r="AG29" s="14">
        <f t="shared" si="18"/>
        <v>8.4953555041405624E-4</v>
      </c>
      <c r="AH29" s="14">
        <f t="shared" si="19"/>
        <v>1.1824430309965508E-3</v>
      </c>
      <c r="AI29" s="14">
        <f t="shared" si="20"/>
        <v>1.3518273117790521E-8</v>
      </c>
      <c r="AJ29" s="14">
        <f t="shared" si="21"/>
        <v>6.26441359901501E-4</v>
      </c>
      <c r="AK29" s="14">
        <f t="shared" si="22"/>
        <v>1.5198022070427303E-2</v>
      </c>
      <c r="AL29" s="14">
        <f t="shared" si="23"/>
        <v>0.18433301156813334</v>
      </c>
      <c r="AM29" s="14">
        <f t="shared" si="24"/>
        <v>0.25656758543549174</v>
      </c>
      <c r="AN29" s="14">
        <f t="shared" si="25"/>
        <v>2.9332074376267751E-6</v>
      </c>
      <c r="AO29" s="14">
        <f t="shared" si="26"/>
        <v>0.1359258272184132</v>
      </c>
      <c r="AP29" s="14">
        <f t="shared" si="46"/>
        <v>1.5198022070427303E-2</v>
      </c>
      <c r="AQ29" s="14">
        <f t="shared" si="29"/>
        <v>0.18433301156813334</v>
      </c>
      <c r="AR29" s="14">
        <f t="shared" si="47"/>
        <v>0.25656758543549174</v>
      </c>
      <c r="AS29" s="14">
        <f t="shared" si="31"/>
        <v>2.9332074376267751E-6</v>
      </c>
      <c r="AT29" s="14">
        <f t="shared" si="51"/>
        <v>0.13265120589444696</v>
      </c>
      <c r="AU29" s="10">
        <f>$AU$27+(($AU$30-$AU$27)/($D$30-$D$27))*(D29-$D$27)</f>
        <v>2.3047110477719852E-2</v>
      </c>
      <c r="AV29" s="10">
        <f>$AV$27+(($AV$30-$AV$27)/($D$30-$D$27))*(D29-$D$27)</f>
        <v>2.994820527675059</v>
      </c>
      <c r="AW29" s="10">
        <f>$AW$27+(($AW$30-$AW$27)/($D$30-$D$27))*(D29-$D$27)</f>
        <v>0.37361855219062196</v>
      </c>
      <c r="AX29" s="10">
        <f>$AX$27+(($AX$30-$AX$27)/($D$30-$D$27))*(D29-$D$27)</f>
        <v>4.7204711540016281E-6</v>
      </c>
      <c r="AY29" s="10">
        <f>$AY$27+(($AY$30-$AY$27)/($D$30-$D$27))*(D29-$D$27)</f>
        <v>0.24546513884704915</v>
      </c>
      <c r="AZ29" s="10">
        <f t="shared" si="48"/>
        <v>0.65943286405120349</v>
      </c>
      <c r="BA29" s="10">
        <f t="shared" si="49"/>
        <v>6.1550603738927505E-2</v>
      </c>
      <c r="BB29" s="10">
        <f t="shared" si="34"/>
        <v>0.68670997179120197</v>
      </c>
      <c r="BC29" s="10">
        <f t="shared" si="59"/>
        <v>0.6213802270860701</v>
      </c>
      <c r="BD29" s="10">
        <f t="shared" si="36"/>
        <v>0.54040751577804591</v>
      </c>
      <c r="BF29" t="s">
        <v>145</v>
      </c>
      <c r="BG29" s="12">
        <v>231.00000000000014</v>
      </c>
      <c r="BH29">
        <v>0.92383357243533637</v>
      </c>
    </row>
    <row r="30" spans="2:61" s="4" customFormat="1" x14ac:dyDescent="0.25">
      <c r="B30" s="4" t="s">
        <v>113</v>
      </c>
      <c r="C30" s="5" t="s">
        <v>45</v>
      </c>
      <c r="D30" s="6">
        <f t="shared" si="37"/>
        <v>455</v>
      </c>
      <c r="E30" s="7">
        <f t="shared" si="50"/>
        <v>0.31597222222222221</v>
      </c>
      <c r="F30" s="7">
        <v>0.72916666666666663</v>
      </c>
      <c r="G30" s="8">
        <v>9.9453999999999994</v>
      </c>
      <c r="H30" s="8">
        <v>18.7285</v>
      </c>
      <c r="I30" s="8">
        <v>14.575100000000001</v>
      </c>
      <c r="J30" s="8">
        <f t="shared" si="1"/>
        <v>4.1533999999999995</v>
      </c>
      <c r="K30" s="8">
        <f t="shared" si="2"/>
        <v>4.6297000000000015</v>
      </c>
      <c r="L30" s="15">
        <v>157147</v>
      </c>
      <c r="M30" s="15">
        <v>24780</v>
      </c>
      <c r="N30" s="15">
        <v>9886790</v>
      </c>
      <c r="O30" s="15">
        <v>195349</v>
      </c>
      <c r="P30" s="15">
        <v>2149206</v>
      </c>
      <c r="Q30" s="5">
        <f t="shared" si="3"/>
        <v>20.197105051389922</v>
      </c>
      <c r="R30" s="5">
        <f t="shared" si="4"/>
        <v>5397.2227871556734</v>
      </c>
      <c r="S30" s="5">
        <f t="shared" si="5"/>
        <v>140.47727370953567</v>
      </c>
      <c r="T30" s="5">
        <f t="shared" si="0"/>
        <v>8.8139600000000011E-4</v>
      </c>
      <c r="U30" s="5">
        <f t="shared" si="6"/>
        <v>410.25848797774643</v>
      </c>
      <c r="V30" s="5">
        <f t="shared" si="7"/>
        <v>2.5006035764125863E-2</v>
      </c>
      <c r="W30" s="5">
        <f t="shared" si="8"/>
        <v>3.2909895043632154</v>
      </c>
      <c r="X30" s="5">
        <f t="shared" si="9"/>
        <v>0.25403910177632427</v>
      </c>
      <c r="Y30" s="5">
        <f t="shared" si="10"/>
        <v>5.3221334668000001E-6</v>
      </c>
      <c r="Z30" s="5">
        <f t="shared" si="11"/>
        <v>0.26953982660137943</v>
      </c>
      <c r="AA30" s="5">
        <f t="shared" si="12"/>
        <v>1.1539212029010603E-3</v>
      </c>
      <c r="AB30" s="5">
        <f t="shared" si="13"/>
        <v>7.9878897249903956E-3</v>
      </c>
      <c r="AC30" s="5">
        <f t="shared" si="14"/>
        <v>0.15146891799093826</v>
      </c>
      <c r="AD30" s="5">
        <f t="shared" si="15"/>
        <v>3.0896807942400006E-8</v>
      </c>
      <c r="AE30" s="5">
        <f t="shared" si="16"/>
        <v>9.8708192207445783E-3</v>
      </c>
      <c r="AF30" s="5">
        <f t="shared" si="17"/>
        <v>1.0920237793579139E-4</v>
      </c>
      <c r="AG30" s="5">
        <f t="shared" si="18"/>
        <v>1.3705777340481964E-2</v>
      </c>
      <c r="AH30" s="5">
        <f t="shared" si="19"/>
        <v>1.7563816549404322E-3</v>
      </c>
      <c r="AI30" s="5">
        <f t="shared" si="20"/>
        <v>2.2247992092738047E-8</v>
      </c>
      <c r="AJ30" s="5">
        <f t="shared" si="21"/>
        <v>1.1652056475524501E-3</v>
      </c>
      <c r="AK30" s="5">
        <f t="shared" si="22"/>
        <v>2.3587355106333315E-2</v>
      </c>
      <c r="AL30" s="5">
        <f t="shared" si="23"/>
        <v>2.9604029074199105</v>
      </c>
      <c r="AM30" s="5">
        <f t="shared" si="24"/>
        <v>0.37937267100253397</v>
      </c>
      <c r="AN30" s="5">
        <f t="shared" si="25"/>
        <v>4.8054932485340391E-6</v>
      </c>
      <c r="AO30" s="5">
        <f t="shared" si="26"/>
        <v>0.25168059432629536</v>
      </c>
      <c r="AP30" s="5">
        <f t="shared" si="46"/>
        <v>2.3587355106333315E-2</v>
      </c>
      <c r="AQ30" s="5">
        <f t="shared" si="29"/>
        <v>2.9604029074199105</v>
      </c>
      <c r="AR30" s="5">
        <f t="shared" si="47"/>
        <v>0.37937267100253397</v>
      </c>
      <c r="AS30" s="5">
        <f t="shared" si="31"/>
        <v>4.8054932485340391E-6</v>
      </c>
      <c r="AT30" s="5">
        <f t="shared" si="51"/>
        <v>0.24840597300232911</v>
      </c>
      <c r="AU30" s="4">
        <f>AP30</f>
        <v>2.3587355106333315E-2</v>
      </c>
      <c r="AV30" s="4">
        <f t="shared" ref="AV30:AY30" si="60">AQ30</f>
        <v>2.9604029074199105</v>
      </c>
      <c r="AW30" s="4">
        <f t="shared" si="60"/>
        <v>0.37937267100253397</v>
      </c>
      <c r="AX30" s="4">
        <f t="shared" si="60"/>
        <v>4.8054932485340391E-6</v>
      </c>
      <c r="AY30" s="4">
        <f t="shared" si="60"/>
        <v>0.24840597300232911</v>
      </c>
      <c r="AZ30" s="4">
        <f t="shared" si="48"/>
        <v>1</v>
      </c>
      <c r="BA30" s="4">
        <f t="shared" si="49"/>
        <v>1</v>
      </c>
      <c r="BB30" s="4">
        <f t="shared" si="34"/>
        <v>1</v>
      </c>
      <c r="BC30" s="4">
        <f t="shared" si="59"/>
        <v>1</v>
      </c>
      <c r="BD30" s="4">
        <f t="shared" si="36"/>
        <v>1</v>
      </c>
      <c r="BF30" t="s">
        <v>132</v>
      </c>
      <c r="BG30" s="12">
        <v>245</v>
      </c>
      <c r="BH30">
        <v>1.0054917513737236</v>
      </c>
      <c r="BI30" s="10"/>
    </row>
    <row r="31" spans="2:61" x14ac:dyDescent="0.25">
      <c r="B31" s="10" t="s">
        <v>114</v>
      </c>
      <c r="C31" s="14" t="s">
        <v>117</v>
      </c>
      <c r="D31" s="12">
        <f t="shared" si="37"/>
        <v>470.00000000000011</v>
      </c>
      <c r="E31" s="9">
        <f t="shared" si="50"/>
        <v>0.32638888888888895</v>
      </c>
      <c r="F31" s="9">
        <v>0.73958333333333337</v>
      </c>
      <c r="G31" s="11">
        <v>9.9360999999999997</v>
      </c>
      <c r="H31" s="11">
        <v>18.810199999999998</v>
      </c>
      <c r="I31" s="11">
        <v>14.566000000000001</v>
      </c>
      <c r="J31" s="11">
        <f t="shared" si="1"/>
        <v>4.2441999999999975</v>
      </c>
      <c r="K31" s="11">
        <f t="shared" si="2"/>
        <v>4.629900000000001</v>
      </c>
      <c r="L31" s="17">
        <v>93760</v>
      </c>
      <c r="M31" s="17">
        <v>2610</v>
      </c>
      <c r="N31" s="17">
        <v>4520808</v>
      </c>
      <c r="O31" s="17">
        <v>111331</v>
      </c>
      <c r="P31" s="17">
        <v>1249473</v>
      </c>
      <c r="Q31" s="14">
        <f t="shared" si="3"/>
        <v>13.74031027492844</v>
      </c>
      <c r="R31" s="14">
        <f t="shared" si="4"/>
        <v>387.3929451110659</v>
      </c>
      <c r="S31" s="14">
        <f t="shared" si="5"/>
        <v>63.172129140074624</v>
      </c>
      <c r="T31" s="14">
        <f t="shared" si="0"/>
        <v>5.4532400000000003E-4</v>
      </c>
      <c r="U31" s="14">
        <f t="shared" si="6"/>
        <v>238.83506077811222</v>
      </c>
      <c r="V31" s="14">
        <f t="shared" si="7"/>
        <v>1.7011878151388903E-2</v>
      </c>
      <c r="W31" s="14">
        <f t="shared" si="8"/>
        <v>0.23621521043357677</v>
      </c>
      <c r="X31" s="14">
        <f t="shared" si="9"/>
        <v>0.11424047833691095</v>
      </c>
      <c r="Y31" s="14">
        <f t="shared" si="10"/>
        <v>3.2928299091999997E-6</v>
      </c>
      <c r="Z31" s="14">
        <f t="shared" si="11"/>
        <v>0.15691463493121974</v>
      </c>
      <c r="AA31" s="14">
        <f t="shared" si="12"/>
        <v>7.8502514693748655E-4</v>
      </c>
      <c r="AB31" s="14">
        <f t="shared" si="13"/>
        <v>5.7334155876437754E-4</v>
      </c>
      <c r="AC31" s="14">
        <f t="shared" si="14"/>
        <v>6.811503238463977E-2</v>
      </c>
      <c r="AD31" s="14">
        <f t="shared" si="15"/>
        <v>1.9116005625600005E-8</v>
      </c>
      <c r="AE31" s="14">
        <f t="shared" si="16"/>
        <v>5.7463715623213788E-3</v>
      </c>
      <c r="AF31" s="14">
        <f t="shared" si="17"/>
        <v>7.5836401177930621E-5</v>
      </c>
      <c r="AG31" s="14">
        <f t="shared" si="18"/>
        <v>1.005199110205109E-3</v>
      </c>
      <c r="AH31" s="14">
        <f t="shared" si="19"/>
        <v>8.0022522659516093E-4</v>
      </c>
      <c r="AI31" s="14">
        <f t="shared" si="20"/>
        <v>1.4063933895072596E-8</v>
      </c>
      <c r="AJ31" s="14">
        <f t="shared" si="21"/>
        <v>6.925822192714741E-4</v>
      </c>
      <c r="AK31" s="14">
        <f t="shared" si="22"/>
        <v>1.6379706079597961E-2</v>
      </c>
      <c r="AL31" s="14">
        <f t="shared" si="23"/>
        <v>0.21711032856111553</v>
      </c>
      <c r="AM31" s="14">
        <f t="shared" si="24"/>
        <v>0.17283855517293265</v>
      </c>
      <c r="AN31" s="14">
        <f t="shared" si="25"/>
        <v>3.0376323236079816E-6</v>
      </c>
      <c r="AO31" s="14">
        <f t="shared" si="26"/>
        <v>0.14958902336367394</v>
      </c>
      <c r="AP31" s="14">
        <f t="shared" si="46"/>
        <v>1.6379706079597961E-2</v>
      </c>
      <c r="AQ31" s="14">
        <f t="shared" si="29"/>
        <v>0.21711032856111553</v>
      </c>
      <c r="AR31" s="14">
        <f t="shared" si="47"/>
        <v>0.17283855517293265</v>
      </c>
      <c r="AS31" s="14">
        <f t="shared" si="31"/>
        <v>3.0376323236079816E-6</v>
      </c>
      <c r="AT31" s="14">
        <f t="shared" si="51"/>
        <v>0.14631440203970769</v>
      </c>
      <c r="AU31" s="10">
        <f>$AU$30+(($AU$33-$AU$30)/($D$33-$D$30))*(D31-$D$30)</f>
        <v>2.3528393265504908E-2</v>
      </c>
      <c r="AV31" s="10">
        <f>$AV$30+(($AV$33-$AV$30)/($D$33-$D$30))*(D31-$D$30)</f>
        <v>2.9196290155362643</v>
      </c>
      <c r="AW31" s="10">
        <f>$AW$30+(($AW$33-$AW$30)/($D$33-$D$30))*(D31-$D$30)</f>
        <v>0.37874689302817416</v>
      </c>
      <c r="AX31" s="10">
        <f>$AX$30+(($AX$33-$AX$30)/($D$33-$D$30))*(D31-$D$30)</f>
        <v>4.8033307502947702E-6</v>
      </c>
      <c r="AY31" s="10">
        <f>$AY$30+(($AY$33-$AY$30)/($D$33-$D$30))*(D31-$D$30)</f>
        <v>0.24758838259995325</v>
      </c>
      <c r="AZ31" s="10">
        <f t="shared" si="48"/>
        <v>0.6961676428459026</v>
      </c>
      <c r="BA31" s="10">
        <f t="shared" si="49"/>
        <v>7.4362299938041165E-2</v>
      </c>
      <c r="BB31" s="10">
        <f t="shared" si="34"/>
        <v>0.45634316308457629</v>
      </c>
      <c r="BC31" s="10">
        <f t="shared" si="59"/>
        <v>0.63240124020640642</v>
      </c>
      <c r="BD31" s="10">
        <f t="shared" si="36"/>
        <v>0.5909582691370403</v>
      </c>
      <c r="BF31" t="s">
        <v>146</v>
      </c>
      <c r="BG31" s="12">
        <v>261.00000000000006</v>
      </c>
      <c r="BH31">
        <v>0.93260780410082189</v>
      </c>
    </row>
    <row r="32" spans="2:61" x14ac:dyDescent="0.25">
      <c r="B32" s="10" t="s">
        <v>115</v>
      </c>
      <c r="C32" s="14" t="s">
        <v>117</v>
      </c>
      <c r="D32" s="12">
        <f t="shared" si="37"/>
        <v>546</v>
      </c>
      <c r="E32" s="9">
        <f t="shared" si="50"/>
        <v>0.37916666666666665</v>
      </c>
      <c r="F32" s="9">
        <v>0.79236111111111107</v>
      </c>
      <c r="G32" s="11">
        <v>9.9374000000000002</v>
      </c>
      <c r="H32" s="11">
        <v>18.917100000000001</v>
      </c>
      <c r="I32" s="11">
        <v>14.7536</v>
      </c>
      <c r="J32" s="11">
        <f t="shared" si="1"/>
        <v>4.1635000000000009</v>
      </c>
      <c r="K32" s="11">
        <f t="shared" si="2"/>
        <v>4.8162000000000003</v>
      </c>
      <c r="L32" s="17">
        <v>99623</v>
      </c>
      <c r="M32" s="17">
        <v>3565</v>
      </c>
      <c r="N32" s="17">
        <v>2851159</v>
      </c>
      <c r="O32" s="17">
        <v>124832</v>
      </c>
      <c r="P32" s="17">
        <v>1372699</v>
      </c>
      <c r="Q32" s="14">
        <f t="shared" si="3"/>
        <v>14.337533487486121</v>
      </c>
      <c r="R32" s="14">
        <f t="shared" si="4"/>
        <v>603.19752333175154</v>
      </c>
      <c r="S32" s="14">
        <f t="shared" si="5"/>
        <v>39.118291962600665</v>
      </c>
      <c r="T32" s="14">
        <f t="shared" si="0"/>
        <v>5.993280000000001E-4</v>
      </c>
      <c r="U32" s="14">
        <f t="shared" si="6"/>
        <v>262.31294059368207</v>
      </c>
      <c r="V32" s="14">
        <f t="shared" si="7"/>
        <v>1.7751300210856566E-2</v>
      </c>
      <c r="W32" s="14">
        <f t="shared" si="8"/>
        <v>0.36780336788521439</v>
      </c>
      <c r="X32" s="14">
        <f t="shared" si="9"/>
        <v>7.0741519185167037E-2</v>
      </c>
      <c r="Y32" s="14">
        <f t="shared" si="10"/>
        <v>3.6189222624000001E-6</v>
      </c>
      <c r="Z32" s="14">
        <f t="shared" si="11"/>
        <v>0.17233960197004916</v>
      </c>
      <c r="AA32" s="14">
        <f t="shared" si="12"/>
        <v>8.1914630074054454E-4</v>
      </c>
      <c r="AB32" s="14">
        <f t="shared" si="13"/>
        <v>8.9273233453099213E-4</v>
      </c>
      <c r="AC32" s="14">
        <f t="shared" si="14"/>
        <v>4.2179102717214347E-2</v>
      </c>
      <c r="AD32" s="14">
        <f t="shared" si="15"/>
        <v>2.1009083443200004E-8</v>
      </c>
      <c r="AE32" s="14">
        <f t="shared" si="16"/>
        <v>6.3112493506839893E-3</v>
      </c>
      <c r="AF32" s="14">
        <f t="shared" si="17"/>
        <v>7.7852710841527946E-5</v>
      </c>
      <c r="AG32" s="14">
        <f t="shared" si="18"/>
        <v>1.5356488996596585E-3</v>
      </c>
      <c r="AH32" s="14">
        <f t="shared" si="19"/>
        <v>4.9767530963409077E-4</v>
      </c>
      <c r="AI32" s="14">
        <f t="shared" si="20"/>
        <v>1.5168566787181545E-8</v>
      </c>
      <c r="AJ32" s="14">
        <f t="shared" si="21"/>
        <v>7.4793217192506412E-4</v>
      </c>
      <c r="AK32" s="14">
        <f t="shared" si="22"/>
        <v>1.6164758698045751E-2</v>
      </c>
      <c r="AL32" s="14">
        <f t="shared" si="23"/>
        <v>0.31885073287231808</v>
      </c>
      <c r="AM32" s="14">
        <f t="shared" si="24"/>
        <v>0.1033336052560298</v>
      </c>
      <c r="AN32" s="14">
        <f t="shared" si="25"/>
        <v>3.1494885567836767E-6</v>
      </c>
      <c r="AO32" s="14">
        <f t="shared" si="26"/>
        <v>0.1552950815840422</v>
      </c>
      <c r="AP32" s="14">
        <f t="shared" si="46"/>
        <v>1.6164758698045751E-2</v>
      </c>
      <c r="AQ32" s="14">
        <f t="shared" si="29"/>
        <v>0.31885073287231808</v>
      </c>
      <c r="AR32" s="14">
        <f t="shared" si="47"/>
        <v>0.1033336052560298</v>
      </c>
      <c r="AS32" s="14">
        <f t="shared" si="31"/>
        <v>3.1494885567836767E-6</v>
      </c>
      <c r="AT32" s="14">
        <f t="shared" si="51"/>
        <v>0.15202046026007596</v>
      </c>
      <c r="AU32" s="10">
        <f>$AU$30+(($AU$33-$AU$30)/($D$33-$D$30))*(D32-$D$30)</f>
        <v>2.3229653271974321E-2</v>
      </c>
      <c r="AV32" s="10">
        <f>$AV$30+(($AV$33-$AV$30)/($D$33-$D$30))*(D32-$D$30)</f>
        <v>2.7130412966591262</v>
      </c>
      <c r="AW32" s="10">
        <f>$AW$30+(($AW$33-$AW$30)/($D$33-$D$30))*(D32-$D$30)</f>
        <v>0.37557628462475123</v>
      </c>
      <c r="AX32" s="10">
        <f>$AX$30+(($AX$33-$AX$30)/($D$33-$D$30))*(D32-$D$30)</f>
        <v>4.7923740925491405E-6</v>
      </c>
      <c r="AY32" s="10">
        <f>$AY$30+(($AY$33-$AY$30)/($D$33-$D$30))*(D32-$D$30)</f>
        <v>0.24344592456124892</v>
      </c>
      <c r="AZ32" s="10">
        <f t="shared" si="48"/>
        <v>0.69586741174255529</v>
      </c>
      <c r="BA32" s="10">
        <f t="shared" si="49"/>
        <v>0.11752520437670999</v>
      </c>
      <c r="BB32" s="10">
        <f t="shared" si="34"/>
        <v>0.27513346685154333</v>
      </c>
      <c r="BC32" s="10">
        <f t="shared" si="59"/>
        <v>0.65718754336817919</v>
      </c>
      <c r="BD32" s="10">
        <f t="shared" si="36"/>
        <v>0.62445268095596695</v>
      </c>
      <c r="BF32" t="s">
        <v>147</v>
      </c>
      <c r="BG32" s="12">
        <v>290.00000000000011</v>
      </c>
      <c r="BH32">
        <v>0.95334918267969182</v>
      </c>
    </row>
    <row r="33" spans="2:61" s="4" customFormat="1" x14ac:dyDescent="0.25">
      <c r="B33" s="4" t="s">
        <v>116</v>
      </c>
      <c r="C33" s="5" t="s">
        <v>46</v>
      </c>
      <c r="D33" s="6">
        <f t="shared" si="37"/>
        <v>605.99999999999989</v>
      </c>
      <c r="E33" s="7">
        <f t="shared" si="50"/>
        <v>0.42083333333333328</v>
      </c>
      <c r="F33" s="7">
        <v>0.8340277777777777</v>
      </c>
      <c r="G33" s="8">
        <v>9.8788999999999998</v>
      </c>
      <c r="H33" s="8">
        <v>18.957599999999999</v>
      </c>
      <c r="I33" s="8">
        <v>14.5822</v>
      </c>
      <c r="J33" s="8">
        <f t="shared" si="1"/>
        <v>4.3753999999999991</v>
      </c>
      <c r="K33" s="8">
        <f t="shared" si="2"/>
        <v>4.7033000000000005</v>
      </c>
      <c r="L33" s="15">
        <v>145593</v>
      </c>
      <c r="M33" s="15">
        <v>20737</v>
      </c>
      <c r="N33" s="15">
        <v>9516563</v>
      </c>
      <c r="O33" s="15">
        <v>186580</v>
      </c>
      <c r="P33" s="15">
        <v>2007353</v>
      </c>
      <c r="Q33" s="5">
        <f t="shared" si="3"/>
        <v>19.020179075286997</v>
      </c>
      <c r="R33" s="5">
        <f t="shared" si="4"/>
        <v>4483.6124104580485</v>
      </c>
      <c r="S33" s="5">
        <f t="shared" si="5"/>
        <v>135.14358981746935</v>
      </c>
      <c r="T33" s="5">
        <f t="shared" si="0"/>
        <v>8.4632000000000012E-4</v>
      </c>
      <c r="U33" s="5">
        <f t="shared" si="6"/>
        <v>383.23166177647369</v>
      </c>
      <c r="V33" s="5">
        <f t="shared" si="7"/>
        <v>2.3548883713112832E-2</v>
      </c>
      <c r="W33" s="5">
        <f t="shared" si="8"/>
        <v>2.7339100063768589</v>
      </c>
      <c r="X33" s="5">
        <f t="shared" si="9"/>
        <v>0.24439366782591157</v>
      </c>
      <c r="Y33" s="5">
        <f t="shared" si="10"/>
        <v>5.1103340559999999E-6</v>
      </c>
      <c r="Z33" s="5">
        <f t="shared" si="11"/>
        <v>0.25178320178714325</v>
      </c>
      <c r="AA33" s="5">
        <f t="shared" si="12"/>
        <v>1.0866798911083719E-3</v>
      </c>
      <c r="AB33" s="5">
        <f t="shared" si="13"/>
        <v>6.6357463674779115E-3</v>
      </c>
      <c r="AC33" s="5">
        <f t="shared" si="14"/>
        <v>0.14571790000273724</v>
      </c>
      <c r="AD33" s="5">
        <f t="shared" si="15"/>
        <v>2.9667239808000008E-8</v>
      </c>
      <c r="AE33" s="5">
        <f t="shared" si="16"/>
        <v>9.2205537823419562E-3</v>
      </c>
      <c r="AF33" s="5">
        <f t="shared" si="17"/>
        <v>1.0814676733020386E-4</v>
      </c>
      <c r="AG33" s="5">
        <f t="shared" si="18"/>
        <v>1.1993159747791466E-2</v>
      </c>
      <c r="AH33" s="5">
        <f t="shared" si="19"/>
        <v>1.7546750532883675E-3</v>
      </c>
      <c r="AI33" s="5">
        <f t="shared" si="20"/>
        <v>2.2499289557611359E-8</v>
      </c>
      <c r="AJ33" s="5">
        <f t="shared" si="21"/>
        <v>1.1450192517039551E-3</v>
      </c>
      <c r="AK33" s="5">
        <f t="shared" si="22"/>
        <v>2.2993805908660698E-2</v>
      </c>
      <c r="AL33" s="5">
        <f t="shared" si="23"/>
        <v>2.5499457291245435</v>
      </c>
      <c r="AM33" s="5">
        <f t="shared" si="24"/>
        <v>0.37307317272731211</v>
      </c>
      <c r="AN33" s="5">
        <f t="shared" si="25"/>
        <v>4.7837240995920649E-6</v>
      </c>
      <c r="AO33" s="5">
        <f t="shared" si="26"/>
        <v>0.24345018427571175</v>
      </c>
      <c r="AP33" s="5">
        <f t="shared" si="46"/>
        <v>2.2993805908660698E-2</v>
      </c>
      <c r="AQ33" s="5">
        <f t="shared" si="29"/>
        <v>2.5499457291245435</v>
      </c>
      <c r="AR33" s="5">
        <f t="shared" si="47"/>
        <v>0.37307317272731211</v>
      </c>
      <c r="AS33" s="5">
        <f t="shared" si="31"/>
        <v>4.7837240995920649E-6</v>
      </c>
      <c r="AT33" s="5">
        <f t="shared" si="51"/>
        <v>0.2401755629517455</v>
      </c>
      <c r="AU33" s="4">
        <f>AP33</f>
        <v>2.2993805908660698E-2</v>
      </c>
      <c r="AV33" s="4">
        <f t="shared" ref="AV33:AY33" si="61">AQ33</f>
        <v>2.5499457291245435</v>
      </c>
      <c r="AW33" s="4">
        <f t="shared" si="61"/>
        <v>0.37307317272731211</v>
      </c>
      <c r="AX33" s="4">
        <f t="shared" si="61"/>
        <v>4.7837240995920649E-6</v>
      </c>
      <c r="AY33" s="4">
        <f t="shared" si="61"/>
        <v>0.2401755629517455</v>
      </c>
      <c r="AZ33" s="4">
        <f t="shared" si="48"/>
        <v>1</v>
      </c>
      <c r="BA33" s="4">
        <f t="shared" si="49"/>
        <v>1</v>
      </c>
      <c r="BB33" s="4">
        <f t="shared" si="34"/>
        <v>1</v>
      </c>
      <c r="BC33" s="4">
        <f t="shared" si="59"/>
        <v>1</v>
      </c>
      <c r="BD33" s="4">
        <f t="shared" si="36"/>
        <v>1</v>
      </c>
      <c r="BF33" t="s">
        <v>44</v>
      </c>
      <c r="BG33" s="6">
        <v>306.00000000000006</v>
      </c>
      <c r="BH33"/>
      <c r="BI33" s="10"/>
    </row>
    <row r="34" spans="2:61" x14ac:dyDescent="0.25">
      <c r="B34" s="10" t="s">
        <v>0</v>
      </c>
      <c r="C34" s="14" t="s">
        <v>117</v>
      </c>
      <c r="D34" s="12">
        <f t="shared" si="37"/>
        <v>635</v>
      </c>
      <c r="E34" s="9">
        <f t="shared" si="50"/>
        <v>0.44097222222222221</v>
      </c>
      <c r="F34" s="9">
        <v>0.85416666666666663</v>
      </c>
      <c r="G34" s="11">
        <v>9.8673000000000002</v>
      </c>
      <c r="H34" s="11">
        <v>19.055099999999999</v>
      </c>
      <c r="I34" s="11">
        <v>14.983000000000001</v>
      </c>
      <c r="J34" s="11">
        <f t="shared" si="1"/>
        <v>4.0720999999999989</v>
      </c>
      <c r="K34" s="11">
        <f t="shared" si="2"/>
        <v>5.1157000000000004</v>
      </c>
      <c r="L34" s="17">
        <v>115742</v>
      </c>
      <c r="M34" s="17">
        <v>4498</v>
      </c>
      <c r="N34" s="17">
        <v>2068152</v>
      </c>
      <c r="O34" s="17">
        <v>144781</v>
      </c>
      <c r="P34" s="17">
        <v>1633623</v>
      </c>
      <c r="Q34" s="14">
        <f t="shared" si="3"/>
        <v>15.979464403948212</v>
      </c>
      <c r="R34" s="14">
        <f t="shared" si="4"/>
        <v>814.0306871850496</v>
      </c>
      <c r="S34" s="14">
        <f t="shared" si="5"/>
        <v>27.837883393600624</v>
      </c>
      <c r="T34" s="14">
        <f t="shared" si="0"/>
        <v>6.7912400000000013E-4</v>
      </c>
      <c r="U34" s="14">
        <f t="shared" si="6"/>
        <v>312.02600693518269</v>
      </c>
      <c r="V34" s="14">
        <f t="shared" si="7"/>
        <v>1.9784174878528279E-2</v>
      </c>
      <c r="W34" s="14">
        <f t="shared" si="8"/>
        <v>0.49636017511283509</v>
      </c>
      <c r="X34" s="14">
        <f t="shared" si="9"/>
        <v>5.0342028328987369E-2</v>
      </c>
      <c r="Y34" s="14">
        <f t="shared" si="10"/>
        <v>4.1007544492000006E-6</v>
      </c>
      <c r="Z34" s="14">
        <f t="shared" si="11"/>
        <v>0.20500108655641505</v>
      </c>
      <c r="AA34" s="14">
        <f t="shared" si="12"/>
        <v>9.1295473979077335E-4</v>
      </c>
      <c r="AB34" s="14">
        <f t="shared" si="13"/>
        <v>1.2047654170338734E-3</v>
      </c>
      <c r="AC34" s="14">
        <f t="shared" si="14"/>
        <v>3.0016058579732906E-2</v>
      </c>
      <c r="AD34" s="14">
        <f t="shared" si="15"/>
        <v>2.3806284345600007E-8</v>
      </c>
      <c r="AE34" s="14">
        <f t="shared" si="16"/>
        <v>7.5073457268604957E-3</v>
      </c>
      <c r="AF34" s="14">
        <f t="shared" si="17"/>
        <v>8.5233541085202646E-5</v>
      </c>
      <c r="AG34" s="14">
        <f t="shared" si="18"/>
        <v>2.0273914875208951E-3</v>
      </c>
      <c r="AH34" s="14">
        <f t="shared" si="19"/>
        <v>3.5855092443480904E-4</v>
      </c>
      <c r="AI34" s="14">
        <f t="shared" si="20"/>
        <v>1.6820468001414103E-8</v>
      </c>
      <c r="AJ34" s="14">
        <f t="shared" si="21"/>
        <v>8.7319025310127782E-4</v>
      </c>
      <c r="AK34" s="14">
        <f t="shared" si="22"/>
        <v>1.6661168771664219E-2</v>
      </c>
      <c r="AL34" s="14">
        <f t="shared" si="23"/>
        <v>0.39630773648198586</v>
      </c>
      <c r="AM34" s="14">
        <f t="shared" si="24"/>
        <v>7.0088340683544581E-2</v>
      </c>
      <c r="AN34" s="14">
        <f t="shared" si="25"/>
        <v>3.2880090703939052E-6</v>
      </c>
      <c r="AO34" s="14">
        <f t="shared" si="26"/>
        <v>0.17068832282997004</v>
      </c>
      <c r="AP34" s="14">
        <f t="shared" si="46"/>
        <v>1.6661168771664219E-2</v>
      </c>
      <c r="AQ34" s="14">
        <f t="shared" si="29"/>
        <v>0.39630773648198586</v>
      </c>
      <c r="AR34" s="14">
        <f t="shared" si="47"/>
        <v>7.0088340683544581E-2</v>
      </c>
      <c r="AS34" s="14">
        <f t="shared" si="31"/>
        <v>3.2880090703939052E-6</v>
      </c>
      <c r="AT34" s="14">
        <f t="shared" si="51"/>
        <v>0.16741370150600379</v>
      </c>
      <c r="AU34" s="10">
        <f>$AU$33+(($AU$36-$AU$33)/($D$36-$D$33))*(D34-$D$33)</f>
        <v>2.2306497873457145E-2</v>
      </c>
      <c r="AV34" s="10">
        <f>$AV$33+(($AV$36-$AV$33)/($D$36-$D$33))*(D34-$D$33)</f>
        <v>2.3092617146907655</v>
      </c>
      <c r="AW34" s="10">
        <f>$AW$33+(($AW$36-$AW$33)/($D$36-$D$33))*(D34-$D$33)</f>
        <v>0.36586903815171945</v>
      </c>
      <c r="AX34" s="10">
        <f>$AX$33+(($AX$36-$AX$33)/($D$36-$D$33))*(D34-$D$33)</f>
        <v>4.6921690785229221E-6</v>
      </c>
      <c r="AY34" s="10">
        <f>$AY$33+(($AY$36-$AY$33)/($D$36-$D$33))*(D34-$D$33)</f>
        <v>0.23520873586696608</v>
      </c>
      <c r="AZ34" s="10">
        <f t="shared" si="48"/>
        <v>0.74691997220637707</v>
      </c>
      <c r="BA34" s="10">
        <f t="shared" si="49"/>
        <v>0.17161664005461402</v>
      </c>
      <c r="BB34" s="10">
        <f t="shared" si="34"/>
        <v>0.19156674485934549</v>
      </c>
      <c r="BC34" s="10">
        <f t="shared" si="59"/>
        <v>0.70074394493664716</v>
      </c>
      <c r="BD34" s="10">
        <f t="shared" si="36"/>
        <v>0.71176651194066565</v>
      </c>
      <c r="BF34" t="s">
        <v>148</v>
      </c>
      <c r="BG34" s="12">
        <v>335.00000000000011</v>
      </c>
      <c r="BH34">
        <v>0.96001156488987427</v>
      </c>
    </row>
    <row r="35" spans="2:61" x14ac:dyDescent="0.25">
      <c r="B35" s="10" t="s">
        <v>2</v>
      </c>
      <c r="C35" s="14" t="s">
        <v>117</v>
      </c>
      <c r="D35" s="12">
        <f t="shared" si="37"/>
        <v>725</v>
      </c>
      <c r="E35" s="9">
        <f t="shared" si="50"/>
        <v>0.50347222222222221</v>
      </c>
      <c r="F35" s="9">
        <v>0.91666666666666663</v>
      </c>
      <c r="G35" s="11">
        <v>9.8832000000000004</v>
      </c>
      <c r="H35" s="11">
        <v>19.087299999999999</v>
      </c>
      <c r="I35" s="11">
        <v>15.0488</v>
      </c>
      <c r="J35" s="11">
        <f t="shared" si="1"/>
        <v>4.0384999999999991</v>
      </c>
      <c r="K35" s="11">
        <f t="shared" si="2"/>
        <v>5.1655999999999995</v>
      </c>
      <c r="L35" s="17">
        <v>126273</v>
      </c>
      <c r="M35" s="17">
        <v>5813</v>
      </c>
      <c r="N35" s="17">
        <v>1833593</v>
      </c>
      <c r="O35" s="17">
        <v>156376</v>
      </c>
      <c r="P35" s="17">
        <v>1765493</v>
      </c>
      <c r="Q35" s="14">
        <f t="shared" si="3"/>
        <v>17.052184453657393</v>
      </c>
      <c r="R35" s="14">
        <f t="shared" si="4"/>
        <v>1111.1856823266219</v>
      </c>
      <c r="S35" s="14">
        <f t="shared" si="5"/>
        <v>24.45870370103583</v>
      </c>
      <c r="T35" s="14">
        <f t="shared" si="0"/>
        <v>7.2550400000000008E-4</v>
      </c>
      <c r="U35" s="14">
        <f t="shared" si="6"/>
        <v>337.15080211866018</v>
      </c>
      <c r="V35" s="14">
        <f t="shared" si="7"/>
        <v>2.1112309572073218E-2</v>
      </c>
      <c r="W35" s="14">
        <f t="shared" si="8"/>
        <v>0.67755224532111091</v>
      </c>
      <c r="X35" s="14">
        <f t="shared" si="9"/>
        <v>4.4231119772953201E-2</v>
      </c>
      <c r="Y35" s="14">
        <f t="shared" si="10"/>
        <v>4.3808108032000005E-6</v>
      </c>
      <c r="Z35" s="14">
        <f t="shared" si="11"/>
        <v>0.22150807699195973</v>
      </c>
      <c r="AA35" s="14">
        <f t="shared" si="12"/>
        <v>9.7424245439080802E-4</v>
      </c>
      <c r="AB35" s="14">
        <f t="shared" si="13"/>
        <v>1.6445548098434004E-3</v>
      </c>
      <c r="AC35" s="14">
        <f t="shared" si="14"/>
        <v>2.6372474972123378E-2</v>
      </c>
      <c r="AD35" s="14">
        <f t="shared" si="15"/>
        <v>2.5432107417600005E-8</v>
      </c>
      <c r="AE35" s="14">
        <f t="shared" si="16"/>
        <v>8.1118482989749642E-3</v>
      </c>
      <c r="AF35" s="14">
        <f t="shared" si="17"/>
        <v>9.0294609029218834E-5</v>
      </c>
      <c r="AG35" s="14">
        <f t="shared" si="18"/>
        <v>2.7447898550550329E-3</v>
      </c>
      <c r="AH35" s="14">
        <f t="shared" si="19"/>
        <v>3.1485703391907196E-4</v>
      </c>
      <c r="AI35" s="14">
        <f t="shared" si="20"/>
        <v>1.7823276522799553E-8</v>
      </c>
      <c r="AJ35" s="14">
        <f t="shared" si="21"/>
        <v>9.3646293250521432E-4</v>
      </c>
      <c r="AK35" s="14">
        <f t="shared" si="22"/>
        <v>1.7479984712176485E-2</v>
      </c>
      <c r="AL35" s="14">
        <f t="shared" si="23"/>
        <v>0.53135934936019691</v>
      </c>
      <c r="AM35" s="14">
        <f t="shared" si="24"/>
        <v>6.0952654855016254E-2</v>
      </c>
      <c r="AN35" s="14">
        <f t="shared" si="25"/>
        <v>3.4503787600277904E-6</v>
      </c>
      <c r="AO35" s="14">
        <f t="shared" si="26"/>
        <v>0.18128831742783305</v>
      </c>
      <c r="AP35" s="14">
        <f t="shared" si="46"/>
        <v>1.7479984712176485E-2</v>
      </c>
      <c r="AQ35" s="14">
        <f t="shared" si="29"/>
        <v>0.53135934936019691</v>
      </c>
      <c r="AR35" s="14">
        <f t="shared" si="47"/>
        <v>6.0952654855016254E-2</v>
      </c>
      <c r="AS35" s="14">
        <f t="shared" si="31"/>
        <v>3.4503787600277904E-6</v>
      </c>
      <c r="AT35" s="14">
        <f t="shared" si="51"/>
        <v>0.1780136961038668</v>
      </c>
      <c r="AU35" s="10">
        <f>$AU$33+(($AU$36-$AU$33)/($D$36-$D$33))*(D35-$D$33)</f>
        <v>2.0173472936618544E-2</v>
      </c>
      <c r="AV35" s="10">
        <f>$AV$33+(($AV$36-$AV$33)/($D$36-$D$33))*(D35-$D$33)</f>
        <v>1.5623113250686993</v>
      </c>
      <c r="AW35" s="10">
        <f>$AW$33+(($AW$36-$AW$33)/($D$36-$D$33))*(D35-$D$33)</f>
        <v>0.3435113791240183</v>
      </c>
      <c r="AX35" s="10">
        <f>$AX$33+(($AX$36-$AX$33)/($D$36-$D$33))*(D35-$D$33)</f>
        <v>4.408032806239378E-6</v>
      </c>
      <c r="AY35" s="10">
        <f>$AY$33+(($AY$36-$AY$33)/($D$36-$D$33))*(D35-$D$33)</f>
        <v>0.21979444491420241</v>
      </c>
      <c r="AZ35" s="10">
        <f t="shared" si="48"/>
        <v>0.86648366233694518</v>
      </c>
      <c r="BA35" s="10">
        <f t="shared" si="49"/>
        <v>0.34011105266540365</v>
      </c>
      <c r="BB35" s="10">
        <f t="shared" si="34"/>
        <v>0.17743998760812651</v>
      </c>
      <c r="BC35" s="10">
        <f t="shared" si="59"/>
        <v>0.78274797663572959</v>
      </c>
      <c r="BD35" s="10">
        <f t="shared" si="36"/>
        <v>0.80990989637320054</v>
      </c>
      <c r="BF35" t="s">
        <v>149</v>
      </c>
      <c r="BG35" s="12">
        <v>396.00000000000006</v>
      </c>
      <c r="BH35">
        <v>0.98297792771629566</v>
      </c>
    </row>
    <row r="36" spans="2:61" s="5" customFormat="1" x14ac:dyDescent="0.25">
      <c r="B36" s="13" t="s">
        <v>3</v>
      </c>
      <c r="C36" s="5" t="s">
        <v>47</v>
      </c>
      <c r="D36" s="6">
        <f t="shared" si="37"/>
        <v>734</v>
      </c>
      <c r="E36" s="7">
        <f t="shared" si="50"/>
        <v>0.50972222222222219</v>
      </c>
      <c r="F36" s="7">
        <v>0.92291666666666661</v>
      </c>
      <c r="G36" s="5">
        <v>9.8356999999999992</v>
      </c>
      <c r="H36" s="5">
        <v>19.061</v>
      </c>
      <c r="I36" s="5">
        <v>15.085000000000001</v>
      </c>
      <c r="J36" s="5">
        <f t="shared" si="1"/>
        <v>3.9759999999999991</v>
      </c>
      <c r="K36" s="5">
        <f t="shared" si="2"/>
        <v>5.2493000000000016</v>
      </c>
      <c r="L36" s="15">
        <v>155823</v>
      </c>
      <c r="M36" s="15">
        <v>15104</v>
      </c>
      <c r="N36" s="15">
        <v>9812748</v>
      </c>
      <c r="O36" s="15">
        <v>212575</v>
      </c>
      <c r="P36" s="15">
        <v>2224642</v>
      </c>
      <c r="Q36" s="5">
        <f t="shared" si="3"/>
        <v>20.062238339224415</v>
      </c>
      <c r="R36" s="5">
        <f t="shared" si="4"/>
        <v>3210.7043590265066</v>
      </c>
      <c r="S36" s="5">
        <f t="shared" si="5"/>
        <v>139.41058591330153</v>
      </c>
      <c r="T36" s="5">
        <f t="shared" si="0"/>
        <v>9.5030000000000006E-4</v>
      </c>
      <c r="U36" s="5">
        <f t="shared" si="6"/>
        <v>424.63108257440081</v>
      </c>
      <c r="V36" s="5">
        <f t="shared" si="7"/>
        <v>2.4839057287793748E-2</v>
      </c>
      <c r="W36" s="5">
        <f t="shared" si="8"/>
        <v>1.9577465603820161</v>
      </c>
      <c r="X36" s="5">
        <f t="shared" si="9"/>
        <v>0.25211010356561447</v>
      </c>
      <c r="Y36" s="5">
        <f t="shared" si="10"/>
        <v>5.7381964900000001E-6</v>
      </c>
      <c r="Z36" s="5">
        <f t="shared" si="11"/>
        <v>0.27898262125138135</v>
      </c>
      <c r="AA36" s="5">
        <f t="shared" si="12"/>
        <v>1.1462158630349084E-3</v>
      </c>
      <c r="AB36" s="5">
        <f t="shared" si="13"/>
        <v>4.7518424513592296E-3</v>
      </c>
      <c r="AC36" s="5">
        <f t="shared" si="14"/>
        <v>0.15031876720808784</v>
      </c>
      <c r="AD36" s="5">
        <f t="shared" si="15"/>
        <v>3.3312196320000012E-8</v>
      </c>
      <c r="AE36" s="5">
        <f t="shared" si="16"/>
        <v>1.0216623846740084E-2</v>
      </c>
      <c r="AF36" s="5">
        <f t="shared" si="17"/>
        <v>1.0477692270609708E-4</v>
      </c>
      <c r="AG36" s="5">
        <f t="shared" si="18"/>
        <v>7.8089441706588143E-3</v>
      </c>
      <c r="AH36" s="5">
        <f t="shared" si="19"/>
        <v>1.7914580764822987E-3</v>
      </c>
      <c r="AI36" s="5">
        <f t="shared" si="20"/>
        <v>2.2989934956382573E-8</v>
      </c>
      <c r="AJ36" s="5">
        <f t="shared" si="21"/>
        <v>1.1628650256541848E-3</v>
      </c>
      <c r="AK36" s="5">
        <f t="shared" si="22"/>
        <v>1.9960170442934685E-2</v>
      </c>
      <c r="AL36" s="5">
        <f t="shared" si="23"/>
        <v>1.4876162861064925</v>
      </c>
      <c r="AM36" s="5">
        <f t="shared" si="24"/>
        <v>0.34127561322124816</v>
      </c>
      <c r="AN36" s="5">
        <f t="shared" si="25"/>
        <v>4.3796191790110239E-6</v>
      </c>
      <c r="AO36" s="5">
        <f t="shared" si="26"/>
        <v>0.22152763714289228</v>
      </c>
      <c r="AP36" s="5">
        <f t="shared" si="46"/>
        <v>1.9960170442934685E-2</v>
      </c>
      <c r="AQ36" s="5">
        <f t="shared" si="29"/>
        <v>1.4876162861064925</v>
      </c>
      <c r="AR36" s="5">
        <f t="shared" si="47"/>
        <v>0.34127561322124816</v>
      </c>
      <c r="AS36" s="5">
        <f t="shared" si="31"/>
        <v>4.3796191790110239E-6</v>
      </c>
      <c r="AT36" s="5">
        <f t="shared" si="51"/>
        <v>0.21825301581892603</v>
      </c>
      <c r="AU36" s="4">
        <f>AP36</f>
        <v>1.9960170442934685E-2</v>
      </c>
      <c r="AV36" s="4">
        <f t="shared" ref="AV36:AY36" si="62">AQ36</f>
        <v>1.4876162861064925</v>
      </c>
      <c r="AW36" s="4">
        <f t="shared" si="62"/>
        <v>0.34127561322124816</v>
      </c>
      <c r="AX36" s="4">
        <f t="shared" si="62"/>
        <v>4.3796191790110239E-6</v>
      </c>
      <c r="AY36" s="4">
        <f t="shared" si="62"/>
        <v>0.21825301581892603</v>
      </c>
      <c r="AZ36" s="4">
        <f t="shared" si="48"/>
        <v>1</v>
      </c>
      <c r="BA36" s="4">
        <f t="shared" si="49"/>
        <v>1</v>
      </c>
      <c r="BB36" s="4">
        <f t="shared" si="34"/>
        <v>1</v>
      </c>
      <c r="BC36" s="4">
        <f t="shared" si="59"/>
        <v>1</v>
      </c>
      <c r="BD36" s="4">
        <f t="shared" si="36"/>
        <v>1</v>
      </c>
      <c r="BE36" s="4"/>
      <c r="BF36" t="s">
        <v>45</v>
      </c>
      <c r="BG36" s="6">
        <v>455</v>
      </c>
      <c r="BH36"/>
      <c r="BI36" s="16"/>
    </row>
    <row r="37" spans="2:61" x14ac:dyDescent="0.25">
      <c r="BF37" t="s">
        <v>150</v>
      </c>
      <c r="BG37" s="12">
        <v>470.00000000000011</v>
      </c>
      <c r="BH37">
        <v>1.0077795882836351</v>
      </c>
    </row>
    <row r="38" spans="2:61" x14ac:dyDescent="0.25">
      <c r="BF38" t="s">
        <v>151</v>
      </c>
      <c r="BG38" s="12">
        <v>546</v>
      </c>
      <c r="BH38">
        <v>1.0067613751533999</v>
      </c>
    </row>
    <row r="39" spans="2:61" x14ac:dyDescent="0.25">
      <c r="BF39" t="s">
        <v>46</v>
      </c>
      <c r="BG39" s="6">
        <v>605.99999999999989</v>
      </c>
      <c r="BH39"/>
    </row>
    <row r="40" spans="2:61" x14ac:dyDescent="0.25">
      <c r="BF40" t="s">
        <v>152</v>
      </c>
      <c r="BG40" s="12">
        <v>635</v>
      </c>
      <c r="BH40">
        <v>1.0052277701918106</v>
      </c>
    </row>
    <row r="41" spans="2:61" x14ac:dyDescent="0.25">
      <c r="BF41" t="s">
        <v>153</v>
      </c>
      <c r="BG41" s="12">
        <v>725</v>
      </c>
      <c r="BH41">
        <v>0.99777344443588956</v>
      </c>
    </row>
    <row r="42" spans="2:61" x14ac:dyDescent="0.25">
      <c r="BF42" t="s">
        <v>47</v>
      </c>
      <c r="BG42" s="6">
        <v>734</v>
      </c>
      <c r="BH42"/>
    </row>
    <row r="43" spans="2:61" x14ac:dyDescent="0.25">
      <c r="BF43" t="s">
        <v>40</v>
      </c>
      <c r="BH43"/>
    </row>
    <row r="44" spans="2:61" x14ac:dyDescent="0.25">
      <c r="BF44" t="s">
        <v>41</v>
      </c>
      <c r="BH44"/>
    </row>
    <row r="45" spans="2:61" x14ac:dyDescent="0.25">
      <c r="BF45" t="s">
        <v>42</v>
      </c>
      <c r="BH45"/>
    </row>
    <row r="46" spans="2:61" x14ac:dyDescent="0.25">
      <c r="BF46" t="s">
        <v>133</v>
      </c>
      <c r="BH46"/>
    </row>
    <row r="47" spans="2:61" x14ac:dyDescent="0.25">
      <c r="BF47" t="s">
        <v>48</v>
      </c>
      <c r="BH47"/>
    </row>
    <row r="48" spans="2:61" x14ac:dyDescent="0.25">
      <c r="BF48" t="s">
        <v>120</v>
      </c>
      <c r="BH48"/>
    </row>
    <row r="49" spans="58:60" x14ac:dyDescent="0.25">
      <c r="BF49" t="s">
        <v>154</v>
      </c>
      <c r="BG49" s="12"/>
      <c r="BH49"/>
    </row>
  </sheetData>
  <autoFilter ref="BG5:BG49" xr:uid="{15524257-9101-43DE-BC24-601290E1D9C0}">
    <sortState ref="BF6:BH49">
      <sortCondition ref="BG5:BG49"/>
    </sortState>
  </autoFilter>
  <mergeCells count="10">
    <mergeCell ref="L4:P4"/>
    <mergeCell ref="Q4:U4"/>
    <mergeCell ref="V4:Z4"/>
    <mergeCell ref="AA4:AE4"/>
    <mergeCell ref="AK4:AO4"/>
    <mergeCell ref="BG4:BH4"/>
    <mergeCell ref="AF4:AI4"/>
    <mergeCell ref="AP4:AT4"/>
    <mergeCell ref="AU4:AY4"/>
    <mergeCell ref="AZ4:B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Autosampler - FID</vt:lpstr>
      <vt:lpstr>Autosampler - TCD</vt:lpstr>
      <vt:lpstr>Autosampler - ECD</vt:lpstr>
      <vt:lpstr>Aqueous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reid_lab</dc:creator>
  <cp:lastModifiedBy>Phil McGuire</cp:lastModifiedBy>
  <dcterms:created xsi:type="dcterms:W3CDTF">2017-11-13T18:12:49Z</dcterms:created>
  <dcterms:modified xsi:type="dcterms:W3CDTF">2018-07-28T21:00:02Z</dcterms:modified>
</cp:coreProperties>
</file>