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https://cornellprod-my.sharepoint.com/personal/pmm262_cornell_edu/Documents/Documents/First Publication Tracer Tests/"/>
    </mc:Choice>
  </mc:AlternateContent>
  <xr:revisionPtr revIDLastSave="306" documentId="8_{51728023-7525-4DBD-BD69-E5D8BFC5A645}" xr6:coauthVersionLast="40" xr6:coauthVersionMax="40" xr10:uidLastSave="{716A6F77-DF09-4EA7-8401-AB3A2795A63F}"/>
  <bookViews>
    <workbookView xWindow="0" yWindow="0" windowWidth="28800" windowHeight="12210" firstSheet="3" activeTab="3" xr2:uid="{00000000-000D-0000-FFFF-FFFF00000000}"/>
  </bookViews>
  <sheets>
    <sheet name="Autosampler - FID" sheetId="1" r:id="rId1"/>
    <sheet name="Autosampler - TCD" sheetId="2" r:id="rId2"/>
    <sheet name="Autosampler - ECD" sheetId="3" r:id="rId3"/>
    <sheet name="Aqueous Samples" sheetId="4" r:id="rId4"/>
  </sheets>
  <definedNames>
    <definedName name="_xlnm._FilterDatabase" localSheetId="3" hidden="1">'Aqueous Samples'!$BG$12:$BH$49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Z16" i="4" l="1"/>
  <c r="J27" i="4" l="1"/>
  <c r="K27" i="4"/>
  <c r="E29" i="4"/>
  <c r="E30" i="4"/>
  <c r="E31" i="4"/>
  <c r="E32" i="4"/>
  <c r="E33" i="4"/>
  <c r="E34" i="4"/>
  <c r="E35" i="4"/>
  <c r="E36" i="4"/>
  <c r="E37" i="4"/>
  <c r="E28" i="4"/>
  <c r="E27" i="4"/>
  <c r="D27" i="4" s="1"/>
  <c r="U27" i="4"/>
  <c r="Z27" i="4" s="1"/>
  <c r="T27" i="4"/>
  <c r="Y27" i="4" s="1"/>
  <c r="S27" i="4"/>
  <c r="X27" i="4" s="1"/>
  <c r="R27" i="4"/>
  <c r="AB27" i="4" s="1"/>
  <c r="Q27" i="4"/>
  <c r="AA27" i="4" s="1"/>
  <c r="V27" i="4" l="1"/>
  <c r="W27" i="4"/>
  <c r="AG27" i="4" s="1"/>
  <c r="AL27" i="4" s="1"/>
  <c r="AJ27" i="4"/>
  <c r="AO27" i="4" s="1"/>
  <c r="AF27" i="4"/>
  <c r="AK27" i="4" s="1"/>
  <c r="AE27" i="4"/>
  <c r="AD27" i="4"/>
  <c r="AI27" i="4" s="1"/>
  <c r="AN27" i="4" s="1"/>
  <c r="AC27" i="4"/>
  <c r="AH27" i="4" s="1"/>
  <c r="AM27" i="4" s="1"/>
  <c r="E12" i="4"/>
  <c r="U35" i="4" l="1"/>
  <c r="Z35" i="4" s="1"/>
  <c r="U36" i="4"/>
  <c r="Z36" i="4" s="1"/>
  <c r="U37" i="4"/>
  <c r="Z37" i="4" s="1"/>
  <c r="T35" i="4"/>
  <c r="AD35" i="4" s="1"/>
  <c r="T36" i="4"/>
  <c r="Y36" i="4" s="1"/>
  <c r="T37" i="4"/>
  <c r="Y37" i="4" s="1"/>
  <c r="S35" i="4"/>
  <c r="X35" i="4" s="1"/>
  <c r="S36" i="4"/>
  <c r="AC36" i="4" s="1"/>
  <c r="S37" i="4"/>
  <c r="X37" i="4" s="1"/>
  <c r="R35" i="4"/>
  <c r="W35" i="4" s="1"/>
  <c r="R36" i="4"/>
  <c r="W36" i="4" s="1"/>
  <c r="R37" i="4"/>
  <c r="AB37" i="4" s="1"/>
  <c r="Q35" i="4"/>
  <c r="V35" i="4" s="1"/>
  <c r="Q36" i="4"/>
  <c r="V36" i="4" s="1"/>
  <c r="Q37" i="4"/>
  <c r="V37" i="4" s="1"/>
  <c r="J37" i="4"/>
  <c r="K37" i="4"/>
  <c r="J36" i="4"/>
  <c r="K36" i="4"/>
  <c r="J35" i="4"/>
  <c r="K35" i="4"/>
  <c r="D37" i="4"/>
  <c r="D36" i="4"/>
  <c r="D35" i="4"/>
  <c r="AA37" i="4" l="1"/>
  <c r="W37" i="4"/>
  <c r="AG37" i="4" s="1"/>
  <c r="AL37" i="4" s="1"/>
  <c r="AB36" i="4"/>
  <c r="AG36" i="4" s="1"/>
  <c r="AL36" i="4" s="1"/>
  <c r="AF37" i="4"/>
  <c r="AK37" i="4" s="1"/>
  <c r="X36" i="4"/>
  <c r="AH36" i="4" s="1"/>
  <c r="AM36" i="4" s="1"/>
  <c r="AC35" i="4"/>
  <c r="AH35" i="4" s="1"/>
  <c r="AM35" i="4" s="1"/>
  <c r="Y35" i="4"/>
  <c r="AI35" i="4" s="1"/>
  <c r="AN35" i="4" s="1"/>
  <c r="AE37" i="4"/>
  <c r="AJ37" i="4" s="1"/>
  <c r="AO37" i="4" s="1"/>
  <c r="AA36" i="4"/>
  <c r="AF36" i="4" s="1"/>
  <c r="AK36" i="4" s="1"/>
  <c r="AB35" i="4"/>
  <c r="AG35" i="4" s="1"/>
  <c r="AL35" i="4" s="1"/>
  <c r="AD37" i="4"/>
  <c r="AI37" i="4" s="1"/>
  <c r="AN37" i="4" s="1"/>
  <c r="AE36" i="4"/>
  <c r="AJ36" i="4" s="1"/>
  <c r="AO36" i="4" s="1"/>
  <c r="AA35" i="4"/>
  <c r="AF35" i="4" s="1"/>
  <c r="AK35" i="4" s="1"/>
  <c r="AC37" i="4"/>
  <c r="AH37" i="4" s="1"/>
  <c r="AM37" i="4" s="1"/>
  <c r="AD36" i="4"/>
  <c r="AI36" i="4" s="1"/>
  <c r="AN36" i="4" s="1"/>
  <c r="AE35" i="4"/>
  <c r="AJ35" i="4" s="1"/>
  <c r="AO35" i="4" s="1"/>
  <c r="T6" i="4"/>
  <c r="T7" i="4"/>
  <c r="T15" i="4"/>
  <c r="T16" i="4"/>
  <c r="T17" i="4"/>
  <c r="T18" i="4"/>
  <c r="T19" i="4"/>
  <c r="T20" i="4"/>
  <c r="T21" i="4"/>
  <c r="T22" i="4"/>
  <c r="T23" i="4"/>
  <c r="T24" i="4"/>
  <c r="T25" i="4"/>
  <c r="T26" i="4"/>
  <c r="T28" i="4"/>
  <c r="T29" i="4"/>
  <c r="T30" i="4"/>
  <c r="T31" i="4"/>
  <c r="T32" i="4"/>
  <c r="T33" i="4"/>
  <c r="T34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8" i="4"/>
  <c r="S29" i="4"/>
  <c r="S30" i="4"/>
  <c r="S31" i="4"/>
  <c r="S32" i="4"/>
  <c r="S33" i="4"/>
  <c r="S34" i="4"/>
  <c r="S6" i="4"/>
  <c r="R7" i="4"/>
  <c r="R8" i="4"/>
  <c r="R15" i="4"/>
  <c r="R16" i="4"/>
  <c r="R17" i="4"/>
  <c r="R18" i="4"/>
  <c r="R19" i="4"/>
  <c r="R20" i="4"/>
  <c r="R21" i="4"/>
  <c r="R22" i="4"/>
  <c r="R23" i="4"/>
  <c r="R24" i="4"/>
  <c r="R25" i="4"/>
  <c r="R26" i="4"/>
  <c r="R28" i="4"/>
  <c r="R29" i="4"/>
  <c r="R30" i="4"/>
  <c r="R31" i="4"/>
  <c r="R32" i="4"/>
  <c r="R33" i="4"/>
  <c r="R34" i="4"/>
  <c r="R6" i="4"/>
  <c r="Q7" i="4"/>
  <c r="Q8" i="4"/>
  <c r="Q16" i="4"/>
  <c r="Q17" i="4"/>
  <c r="Q18" i="4"/>
  <c r="Q19" i="4"/>
  <c r="Q20" i="4"/>
  <c r="Q21" i="4"/>
  <c r="Q22" i="4"/>
  <c r="Q23" i="4"/>
  <c r="Q24" i="4"/>
  <c r="Q25" i="4"/>
  <c r="Q26" i="4"/>
  <c r="Q28" i="4"/>
  <c r="Q29" i="4"/>
  <c r="Q30" i="4"/>
  <c r="Q31" i="4"/>
  <c r="Q32" i="4"/>
  <c r="Q33" i="4"/>
  <c r="Q34" i="4"/>
  <c r="Q6" i="4"/>
  <c r="V6" i="4" s="1"/>
  <c r="U7" i="4"/>
  <c r="U8" i="4"/>
  <c r="AE8" i="4" s="1"/>
  <c r="U9" i="4"/>
  <c r="Z9" i="4" s="1"/>
  <c r="U10" i="4"/>
  <c r="Z10" i="4" s="1"/>
  <c r="U11" i="4"/>
  <c r="U12" i="4"/>
  <c r="AE12" i="4" s="1"/>
  <c r="U13" i="4"/>
  <c r="Z13" i="4" s="1"/>
  <c r="U14" i="4"/>
  <c r="AE14" i="4" s="1"/>
  <c r="U15" i="4"/>
  <c r="U16" i="4"/>
  <c r="AE16" i="4" s="1"/>
  <c r="U17" i="4"/>
  <c r="AE17" i="4" s="1"/>
  <c r="U18" i="4"/>
  <c r="Z18" i="4" s="1"/>
  <c r="U19" i="4"/>
  <c r="U20" i="4"/>
  <c r="AE20" i="4" s="1"/>
  <c r="U21" i="4"/>
  <c r="Z21" i="4" s="1"/>
  <c r="U22" i="4"/>
  <c r="AE22" i="4" s="1"/>
  <c r="U23" i="4"/>
  <c r="U24" i="4"/>
  <c r="AE24" i="4" s="1"/>
  <c r="U25" i="4"/>
  <c r="AE25" i="4" s="1"/>
  <c r="U26" i="4"/>
  <c r="Z26" i="4" s="1"/>
  <c r="U28" i="4"/>
  <c r="U29" i="4"/>
  <c r="AE29" i="4" s="1"/>
  <c r="U30" i="4"/>
  <c r="AE30" i="4" s="1"/>
  <c r="U31" i="4"/>
  <c r="AE31" i="4" s="1"/>
  <c r="U32" i="4"/>
  <c r="U33" i="4"/>
  <c r="AE33" i="4" s="1"/>
  <c r="U34" i="4"/>
  <c r="Z34" i="4" s="1"/>
  <c r="U6" i="4"/>
  <c r="Z6" i="4" s="1"/>
  <c r="AE6" i="4" l="1"/>
  <c r="AE13" i="4"/>
  <c r="Z25" i="4"/>
  <c r="Z14" i="4"/>
  <c r="AE34" i="4"/>
  <c r="AE21" i="4"/>
  <c r="AE10" i="4"/>
  <c r="Z30" i="4"/>
  <c r="Z17" i="4"/>
  <c r="Z22" i="4"/>
  <c r="AE18" i="4"/>
  <c r="AE9" i="4"/>
  <c r="Z31" i="4"/>
  <c r="AE26" i="4"/>
  <c r="AE32" i="4"/>
  <c r="Z32" i="4"/>
  <c r="AE28" i="4"/>
  <c r="Z28" i="4"/>
  <c r="AE23" i="4"/>
  <c r="Z23" i="4"/>
  <c r="AE19" i="4"/>
  <c r="Z19" i="4"/>
  <c r="AE15" i="4"/>
  <c r="Z15" i="4"/>
  <c r="AE11" i="4"/>
  <c r="Z11" i="4"/>
  <c r="AE7" i="4"/>
  <c r="Z7" i="4"/>
  <c r="Z33" i="4"/>
  <c r="Z29" i="4"/>
  <c r="Z24" i="4"/>
  <c r="Z20" i="4"/>
  <c r="Z16" i="4"/>
  <c r="Z12" i="4"/>
  <c r="Z8" i="4"/>
  <c r="D12" i="4"/>
  <c r="E13" i="4"/>
  <c r="D13" i="4" s="1"/>
  <c r="E14" i="4"/>
  <c r="D14" i="4" s="1"/>
  <c r="E15" i="4"/>
  <c r="D15" i="4" s="1"/>
  <c r="E16" i="4"/>
  <c r="D16" i="4" s="1"/>
  <c r="AD11" i="4" l="1"/>
  <c r="AD12" i="4"/>
  <c r="AD13" i="4"/>
  <c r="AD14" i="4"/>
  <c r="AD15" i="4"/>
  <c r="AD16" i="4"/>
  <c r="AD17" i="4"/>
  <c r="AD18" i="4"/>
  <c r="AD19" i="4"/>
  <c r="AD21" i="4"/>
  <c r="Y11" i="4"/>
  <c r="Y12" i="4"/>
  <c r="Y13" i="4"/>
  <c r="Y14" i="4"/>
  <c r="Y15" i="4"/>
  <c r="Y16" i="4"/>
  <c r="Y17" i="4"/>
  <c r="Y18" i="4"/>
  <c r="Y19" i="4"/>
  <c r="Y21" i="4"/>
  <c r="AD7" i="4"/>
  <c r="T8" i="4"/>
  <c r="Y9" i="4"/>
  <c r="AA7" i="4"/>
  <c r="AA9" i="4"/>
  <c r="V11" i="4"/>
  <c r="AA12" i="4"/>
  <c r="V13" i="4"/>
  <c r="AA14" i="4"/>
  <c r="AA15" i="4"/>
  <c r="V16" i="4"/>
  <c r="V17" i="4"/>
  <c r="V18" i="4"/>
  <c r="AA19" i="4"/>
  <c r="AA20" i="4"/>
  <c r="AA21" i="4"/>
  <c r="AA22" i="4"/>
  <c r="V23" i="4"/>
  <c r="AA24" i="4"/>
  <c r="AA25" i="4"/>
  <c r="AA26" i="4"/>
  <c r="AA29" i="4"/>
  <c r="AA31" i="4"/>
  <c r="AA33" i="4"/>
  <c r="AC6" i="4"/>
  <c r="AA6" i="4"/>
  <c r="V9" i="4" l="1"/>
  <c r="AA32" i="4"/>
  <c r="V32" i="4"/>
  <c r="AA28" i="4"/>
  <c r="V28" i="4"/>
  <c r="AB31" i="4"/>
  <c r="W31" i="4"/>
  <c r="AB26" i="4"/>
  <c r="W26" i="4"/>
  <c r="AB22" i="4"/>
  <c r="W22" i="4"/>
  <c r="AB18" i="4"/>
  <c r="W18" i="4"/>
  <c r="AB14" i="4"/>
  <c r="W14" i="4"/>
  <c r="AB10" i="4"/>
  <c r="W10" i="4"/>
  <c r="AC34" i="4"/>
  <c r="X34" i="4"/>
  <c r="AC30" i="4"/>
  <c r="X30" i="4"/>
  <c r="AC25" i="4"/>
  <c r="X25" i="4"/>
  <c r="AC21" i="4"/>
  <c r="X21" i="4"/>
  <c r="AC17" i="4"/>
  <c r="X17" i="4"/>
  <c r="AC13" i="4"/>
  <c r="X13" i="4"/>
  <c r="AC9" i="4"/>
  <c r="X9" i="4"/>
  <c r="AD33" i="4"/>
  <c r="Y33" i="4"/>
  <c r="AD29" i="4"/>
  <c r="Y29" i="4"/>
  <c r="AD24" i="4"/>
  <c r="Y24" i="4"/>
  <c r="AD10" i="4"/>
  <c r="Y10" i="4"/>
  <c r="V26" i="4"/>
  <c r="W28" i="4"/>
  <c r="AB28" i="4"/>
  <c r="AB6" i="4"/>
  <c r="W6" i="4"/>
  <c r="AA8" i="4"/>
  <c r="V8" i="4"/>
  <c r="W32" i="4"/>
  <c r="AB32" i="4"/>
  <c r="W23" i="4"/>
  <c r="AB23" i="4"/>
  <c r="W19" i="4"/>
  <c r="AB19" i="4"/>
  <c r="W15" i="4"/>
  <c r="AB15" i="4"/>
  <c r="W11" i="4"/>
  <c r="AB11" i="4"/>
  <c r="W7" i="4"/>
  <c r="AB7" i="4"/>
  <c r="X31" i="4"/>
  <c r="AC31" i="4"/>
  <c r="X26" i="4"/>
  <c r="AC26" i="4"/>
  <c r="X22" i="4"/>
  <c r="AC22" i="4"/>
  <c r="X14" i="4"/>
  <c r="AC14" i="4"/>
  <c r="X10" i="4"/>
  <c r="AC10" i="4"/>
  <c r="Y34" i="4"/>
  <c r="AD34" i="4"/>
  <c r="Y30" i="4"/>
  <c r="AD30" i="4"/>
  <c r="Y25" i="4"/>
  <c r="AD25" i="4"/>
  <c r="AD20" i="4"/>
  <c r="Y20" i="4"/>
  <c r="V29" i="4"/>
  <c r="X6" i="4"/>
  <c r="AD6" i="4"/>
  <c r="Y6" i="4"/>
  <c r="AA10" i="4"/>
  <c r="V10" i="4"/>
  <c r="AB34" i="4"/>
  <c r="W34" i="4"/>
  <c r="AB30" i="4"/>
  <c r="W30" i="4"/>
  <c r="AB25" i="4"/>
  <c r="W25" i="4"/>
  <c r="AB21" i="4"/>
  <c r="W21" i="4"/>
  <c r="AB17" i="4"/>
  <c r="W17" i="4"/>
  <c r="AB13" i="4"/>
  <c r="W13" i="4"/>
  <c r="AB9" i="4"/>
  <c r="W9" i="4"/>
  <c r="AC33" i="4"/>
  <c r="X33" i="4"/>
  <c r="AC29" i="4"/>
  <c r="X29" i="4"/>
  <c r="AC24" i="4"/>
  <c r="X24" i="4"/>
  <c r="AC20" i="4"/>
  <c r="X20" i="4"/>
  <c r="AC16" i="4"/>
  <c r="X16" i="4"/>
  <c r="AC12" i="4"/>
  <c r="X12" i="4"/>
  <c r="AC8" i="4"/>
  <c r="X8" i="4"/>
  <c r="AD32" i="4"/>
  <c r="Y32" i="4"/>
  <c r="AD28" i="4"/>
  <c r="Y28" i="4"/>
  <c r="AD23" i="4"/>
  <c r="Y23" i="4"/>
  <c r="V33" i="4"/>
  <c r="AA34" i="4"/>
  <c r="V34" i="4"/>
  <c r="AA30" i="4"/>
  <c r="V30" i="4"/>
  <c r="AB33" i="4"/>
  <c r="W33" i="4"/>
  <c r="AB29" i="4"/>
  <c r="W29" i="4"/>
  <c r="AB24" i="4"/>
  <c r="W24" i="4"/>
  <c r="AB20" i="4"/>
  <c r="W20" i="4"/>
  <c r="AB16" i="4"/>
  <c r="W16" i="4"/>
  <c r="AB12" i="4"/>
  <c r="W12" i="4"/>
  <c r="AB8" i="4"/>
  <c r="W8" i="4"/>
  <c r="AC32" i="4"/>
  <c r="X32" i="4"/>
  <c r="AC28" i="4"/>
  <c r="X28" i="4"/>
  <c r="AC23" i="4"/>
  <c r="X23" i="4"/>
  <c r="AC19" i="4"/>
  <c r="X19" i="4"/>
  <c r="AC15" i="4"/>
  <c r="X15" i="4"/>
  <c r="AC11" i="4"/>
  <c r="X11" i="4"/>
  <c r="AC7" i="4"/>
  <c r="X7" i="4"/>
  <c r="AD31" i="4"/>
  <c r="Y31" i="4"/>
  <c r="AD26" i="4"/>
  <c r="Y26" i="4"/>
  <c r="AD22" i="4"/>
  <c r="Y22" i="4"/>
  <c r="AD8" i="4"/>
  <c r="Y8" i="4"/>
  <c r="V31" i="4"/>
  <c r="V7" i="4"/>
  <c r="X18" i="4"/>
  <c r="AC18" i="4"/>
  <c r="AD9" i="4"/>
  <c r="Y7" i="4"/>
  <c r="V14" i="4"/>
  <c r="AA17" i="4"/>
  <c r="AA18" i="4"/>
  <c r="V19" i="4"/>
  <c r="V24" i="4"/>
  <c r="V25" i="4"/>
  <c r="AA23" i="4"/>
  <c r="V22" i="4"/>
  <c r="V21" i="4"/>
  <c r="V20" i="4"/>
  <c r="AA16" i="4"/>
  <c r="V15" i="4"/>
  <c r="AA13" i="4"/>
  <c r="V12" i="4"/>
  <c r="AA11" i="4"/>
  <c r="K7" i="4" l="1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8" i="4"/>
  <c r="K29" i="4"/>
  <c r="K30" i="4"/>
  <c r="K31" i="4"/>
  <c r="K32" i="4"/>
  <c r="K33" i="4"/>
  <c r="K34" i="4"/>
  <c r="J7" i="4"/>
  <c r="J8" i="4"/>
  <c r="J9" i="4"/>
  <c r="J10" i="4"/>
  <c r="J11" i="4"/>
  <c r="AJ11" i="4" s="1"/>
  <c r="AO11" i="4" s="1"/>
  <c r="J12" i="4"/>
  <c r="J13" i="4"/>
  <c r="J14" i="4"/>
  <c r="J15" i="4"/>
  <c r="AJ15" i="4" s="1"/>
  <c r="AO15" i="4" s="1"/>
  <c r="J16" i="4"/>
  <c r="J17" i="4"/>
  <c r="J18" i="4"/>
  <c r="J19" i="4"/>
  <c r="AJ19" i="4" s="1"/>
  <c r="AO19" i="4" s="1"/>
  <c r="J20" i="4"/>
  <c r="J21" i="4"/>
  <c r="J22" i="4"/>
  <c r="J23" i="4"/>
  <c r="AJ23" i="4" s="1"/>
  <c r="AO23" i="4" s="1"/>
  <c r="J24" i="4"/>
  <c r="J25" i="4"/>
  <c r="J26" i="4"/>
  <c r="J28" i="4"/>
  <c r="J29" i="4"/>
  <c r="J30" i="4"/>
  <c r="J31" i="4"/>
  <c r="J32" i="4"/>
  <c r="J33" i="4"/>
  <c r="J34" i="4"/>
  <c r="J6" i="4"/>
  <c r="K6" i="4"/>
  <c r="E18" i="4"/>
  <c r="D18" i="4" s="1"/>
  <c r="E19" i="4"/>
  <c r="D19" i="4" s="1"/>
  <c r="E20" i="4"/>
  <c r="D20" i="4" s="1"/>
  <c r="E21" i="4"/>
  <c r="D21" i="4" s="1"/>
  <c r="E22" i="4"/>
  <c r="D22" i="4" s="1"/>
  <c r="E23" i="4"/>
  <c r="D23" i="4" s="1"/>
  <c r="E24" i="4"/>
  <c r="D24" i="4" s="1"/>
  <c r="E25" i="4"/>
  <c r="D25" i="4" s="1"/>
  <c r="E26" i="4"/>
  <c r="D26" i="4" s="1"/>
  <c r="D28" i="4"/>
  <c r="D29" i="4"/>
  <c r="D30" i="4"/>
  <c r="D31" i="4"/>
  <c r="D32" i="4"/>
  <c r="D33" i="4"/>
  <c r="D34" i="4"/>
  <c r="E17" i="4"/>
  <c r="D17" i="4" s="1"/>
  <c r="E73" i="3"/>
  <c r="D73" i="3"/>
  <c r="E72" i="3"/>
  <c r="D72" i="3"/>
  <c r="E71" i="3"/>
  <c r="D71" i="3"/>
  <c r="E70" i="3"/>
  <c r="D70" i="3"/>
  <c r="E69" i="3"/>
  <c r="D69" i="3"/>
  <c r="E68" i="3"/>
  <c r="D68" i="3"/>
  <c r="E67" i="3"/>
  <c r="D67" i="3"/>
  <c r="E66" i="3"/>
  <c r="D66" i="3"/>
  <c r="E65" i="3"/>
  <c r="D65" i="3"/>
  <c r="E64" i="3"/>
  <c r="D64" i="3"/>
  <c r="E63" i="3"/>
  <c r="D63" i="3"/>
  <c r="E62" i="3"/>
  <c r="D62" i="3"/>
  <c r="E61" i="3"/>
  <c r="D61" i="3"/>
  <c r="E60" i="3"/>
  <c r="D60" i="3"/>
  <c r="E59" i="3"/>
  <c r="D59" i="3"/>
  <c r="E58" i="3"/>
  <c r="D58" i="3"/>
  <c r="E57" i="3"/>
  <c r="D57" i="3"/>
  <c r="E56" i="3"/>
  <c r="D56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16" i="1"/>
  <c r="AJ7" i="4" l="1"/>
  <c r="AO7" i="4" s="1"/>
  <c r="AJ33" i="4"/>
  <c r="AO33" i="4" s="1"/>
  <c r="AJ29" i="4"/>
  <c r="AO29" i="4" s="1"/>
  <c r="AJ24" i="4"/>
  <c r="AO24" i="4" s="1"/>
  <c r="AJ20" i="4"/>
  <c r="AO20" i="4" s="1"/>
  <c r="AJ16" i="4"/>
  <c r="AO16" i="4" s="1"/>
  <c r="AH32" i="4"/>
  <c r="AM32" i="4" s="1"/>
  <c r="AJ32" i="4"/>
  <c r="AO32" i="4" s="1"/>
  <c r="AI28" i="4"/>
  <c r="AN28" i="4" s="1"/>
  <c r="AJ28" i="4"/>
  <c r="AO28" i="4" s="1"/>
  <c r="AJ31" i="4"/>
  <c r="AO31" i="4" s="1"/>
  <c r="AJ22" i="4"/>
  <c r="AO22" i="4" s="1"/>
  <c r="AJ14" i="4"/>
  <c r="AO14" i="4" s="1"/>
  <c r="AJ34" i="4"/>
  <c r="AO34" i="4" s="1"/>
  <c r="AJ30" i="4"/>
  <c r="AO30" i="4" s="1"/>
  <c r="AJ25" i="4"/>
  <c r="AO25" i="4" s="1"/>
  <c r="AJ17" i="4"/>
  <c r="AO17" i="4" s="1"/>
  <c r="AJ13" i="4"/>
  <c r="AO13" i="4" s="1"/>
  <c r="AJ9" i="4"/>
  <c r="AO9" i="4" s="1"/>
  <c r="AF6" i="4"/>
  <c r="AK6" i="4" s="1"/>
  <c r="AJ6" i="4"/>
  <c r="AO6" i="4" s="1"/>
  <c r="AJ26" i="4"/>
  <c r="AO26" i="4" s="1"/>
  <c r="AJ18" i="4"/>
  <c r="AO18" i="4" s="1"/>
  <c r="AJ10" i="4"/>
  <c r="AO10" i="4" s="1"/>
  <c r="AI12" i="4"/>
  <c r="AN12" i="4" s="1"/>
  <c r="AJ12" i="4"/>
  <c r="AO12" i="4" s="1"/>
  <c r="AH8" i="4"/>
  <c r="AM8" i="4" s="1"/>
  <c r="AJ8" i="4"/>
  <c r="AO8" i="4" s="1"/>
  <c r="AJ21" i="4"/>
  <c r="AO21" i="4" s="1"/>
  <c r="AF7" i="4"/>
  <c r="AK7" i="4" s="1"/>
  <c r="AH34" i="4"/>
  <c r="AM34" i="4" s="1"/>
  <c r="AI33" i="4"/>
  <c r="AN33" i="4" s="1"/>
  <c r="AH31" i="4"/>
  <c r="AM31" i="4" s="1"/>
  <c r="AF30" i="4"/>
  <c r="AK30" i="4" s="1"/>
  <c r="AI29" i="4"/>
  <c r="AN29" i="4" s="1"/>
  <c r="AI26" i="4"/>
  <c r="AN26" i="4" s="1"/>
  <c r="AI25" i="4"/>
  <c r="AN25" i="4" s="1"/>
  <c r="AG24" i="4"/>
  <c r="AL24" i="4" s="1"/>
  <c r="AI23" i="4"/>
  <c r="AN23" i="4" s="1"/>
  <c r="AF22" i="4"/>
  <c r="AK22" i="4" s="1"/>
  <c r="AF21" i="4"/>
  <c r="AK21" i="4" s="1"/>
  <c r="AF20" i="4"/>
  <c r="AK20" i="4" s="1"/>
  <c r="AI18" i="4"/>
  <c r="AN18" i="4" s="1"/>
  <c r="AH17" i="4"/>
  <c r="AM17" i="4" s="1"/>
  <c r="AI16" i="4"/>
  <c r="AN16" i="4" s="1"/>
  <c r="AI14" i="4"/>
  <c r="AN14" i="4" s="1"/>
  <c r="AG10" i="4"/>
  <c r="AL10" i="4" s="1"/>
  <c r="AG9" i="4"/>
  <c r="AL9" i="4" s="1"/>
  <c r="AH7" i="4"/>
  <c r="AM7" i="4" s="1"/>
  <c r="AI19" i="4"/>
  <c r="AN19" i="4" s="1"/>
  <c r="AI15" i="4"/>
  <c r="AN15" i="4" s="1"/>
  <c r="AI11" i="4"/>
  <c r="AN11" i="4" s="1"/>
  <c r="AG28" i="4"/>
  <c r="AL28" i="4" s="1"/>
  <c r="AH26" i="4"/>
  <c r="AM26" i="4" s="1"/>
  <c r="AF29" i="4"/>
  <c r="AK29" i="4" s="1"/>
  <c r="AG16" i="4"/>
  <c r="AL16" i="4" s="1"/>
  <c r="AH11" i="4"/>
  <c r="AM11" i="4" s="1"/>
  <c r="AF17" i="4"/>
  <c r="AK17" i="4" s="1"/>
  <c r="AG31" i="4"/>
  <c r="AL31" i="4" s="1"/>
  <c r="AH25" i="4"/>
  <c r="AM25" i="4" s="1"/>
  <c r="AI10" i="4"/>
  <c r="AN10" i="4" s="1"/>
  <c r="AG30" i="4"/>
  <c r="AL30" i="4" s="1"/>
  <c r="AH24" i="4"/>
  <c r="AM24" i="4" s="1"/>
  <c r="AF33" i="4"/>
  <c r="AK33" i="4" s="1"/>
  <c r="AF23" i="4"/>
  <c r="AK23" i="4" s="1"/>
  <c r="AG32" i="4"/>
  <c r="AL32" i="4" s="1"/>
  <c r="AH22" i="4"/>
  <c r="AM22" i="4" s="1"/>
  <c r="AG29" i="4"/>
  <c r="AL29" i="4" s="1"/>
  <c r="AH23" i="4"/>
  <c r="AM23" i="4" s="1"/>
  <c r="AI8" i="4"/>
  <c r="AN8" i="4" s="1"/>
  <c r="AF28" i="4"/>
  <c r="AK28" i="4" s="1"/>
  <c r="AH30" i="4"/>
  <c r="AM30" i="4" s="1"/>
  <c r="AI24" i="4"/>
  <c r="AN24" i="4" s="1"/>
  <c r="AI6" i="4"/>
  <c r="AN6" i="4" s="1"/>
  <c r="AI32" i="4"/>
  <c r="AN32" i="4" s="1"/>
  <c r="AF24" i="4"/>
  <c r="AK24" i="4" s="1"/>
  <c r="AG23" i="4"/>
  <c r="AL23" i="4" s="1"/>
  <c r="AH14" i="4"/>
  <c r="AM14" i="4" s="1"/>
  <c r="AF34" i="4"/>
  <c r="AK34" i="4" s="1"/>
  <c r="AG8" i="4"/>
  <c r="AL8" i="4" s="1"/>
  <c r="AI31" i="4"/>
  <c r="AN31" i="4" s="1"/>
  <c r="AF25" i="4"/>
  <c r="AK25" i="4" s="1"/>
  <c r="AG22" i="4"/>
  <c r="AL22" i="4" s="1"/>
  <c r="AF8" i="4"/>
  <c r="AK8" i="4" s="1"/>
  <c r="AG21" i="4"/>
  <c r="AL21" i="4" s="1"/>
  <c r="AH16" i="4"/>
  <c r="AM16" i="4" s="1"/>
  <c r="AH18" i="4"/>
  <c r="AM18" i="4" s="1"/>
  <c r="AF16" i="4"/>
  <c r="AK16" i="4" s="1"/>
  <c r="AG19" i="4"/>
  <c r="AL19" i="4" s="1"/>
  <c r="AH10" i="4"/>
  <c r="AM10" i="4" s="1"/>
  <c r="AG20" i="4"/>
  <c r="AL20" i="4" s="1"/>
  <c r="AH15" i="4"/>
  <c r="AM15" i="4" s="1"/>
  <c r="AF19" i="4"/>
  <c r="AK19" i="4" s="1"/>
  <c r="AG26" i="4"/>
  <c r="AL26" i="4" s="1"/>
  <c r="AH21" i="4"/>
  <c r="AM21" i="4" s="1"/>
  <c r="AF26" i="4"/>
  <c r="AK26" i="4" s="1"/>
  <c r="AG34" i="4"/>
  <c r="AL34" i="4" s="1"/>
  <c r="AH29" i="4"/>
  <c r="AM29" i="4" s="1"/>
  <c r="AI21" i="4"/>
  <c r="AN21" i="4" s="1"/>
  <c r="AI17" i="4"/>
  <c r="AN17" i="4" s="1"/>
  <c r="AI13" i="4"/>
  <c r="AN13" i="4" s="1"/>
  <c r="AI9" i="4"/>
  <c r="AN9" i="4" s="1"/>
  <c r="AF9" i="4"/>
  <c r="AK9" i="4" s="1"/>
  <c r="AG15" i="4"/>
  <c r="AL15" i="4" s="1"/>
  <c r="AI34" i="4"/>
  <c r="AN34" i="4" s="1"/>
  <c r="AG33" i="4"/>
  <c r="AL33" i="4" s="1"/>
  <c r="AH28" i="4"/>
  <c r="AM28" i="4" s="1"/>
  <c r="AI22" i="4"/>
  <c r="AN22" i="4" s="1"/>
  <c r="AF12" i="4"/>
  <c r="AK12" i="4" s="1"/>
  <c r="AG14" i="4"/>
  <c r="AL14" i="4" s="1"/>
  <c r="AH9" i="4"/>
  <c r="AM9" i="4" s="1"/>
  <c r="AR27" i="4" s="1"/>
  <c r="AW27" i="4" s="1"/>
  <c r="BB27" i="4" s="1"/>
  <c r="AH6" i="4"/>
  <c r="AM6" i="4" s="1"/>
  <c r="AG13" i="4"/>
  <c r="AL13" i="4" s="1"/>
  <c r="AI7" i="4"/>
  <c r="AN7" i="4" s="1"/>
  <c r="AX9" i="4" s="1"/>
  <c r="AF11" i="4"/>
  <c r="AK11" i="4" s="1"/>
  <c r="AP27" i="4" s="1"/>
  <c r="AG11" i="4"/>
  <c r="AL11" i="4" s="1"/>
  <c r="AI30" i="4"/>
  <c r="AN30" i="4" s="1"/>
  <c r="AG12" i="4"/>
  <c r="AL12" i="4" s="1"/>
  <c r="AG18" i="4"/>
  <c r="AL18" i="4" s="1"/>
  <c r="AH13" i="4"/>
  <c r="AM13" i="4" s="1"/>
  <c r="AG6" i="4"/>
  <c r="AL6" i="4" s="1"/>
  <c r="AG25" i="4"/>
  <c r="AL25" i="4" s="1"/>
  <c r="AH20" i="4"/>
  <c r="AM20" i="4" s="1"/>
  <c r="AF31" i="4"/>
  <c r="AK31" i="4" s="1"/>
  <c r="AF13" i="4"/>
  <c r="AK13" i="4" s="1"/>
  <c r="AG7" i="4"/>
  <c r="AL7" i="4" s="1"/>
  <c r="AH19" i="4"/>
  <c r="AM19" i="4" s="1"/>
  <c r="AF32" i="4"/>
  <c r="AK32" i="4" s="1"/>
  <c r="AF10" i="4"/>
  <c r="AK10" i="4" s="1"/>
  <c r="AH33" i="4"/>
  <c r="AM33" i="4" s="1"/>
  <c r="AF18" i="4"/>
  <c r="AK18" i="4" s="1"/>
  <c r="AF15" i="4"/>
  <c r="AK15" i="4" s="1"/>
  <c r="AI20" i="4"/>
  <c r="AN20" i="4" s="1"/>
  <c r="AG17" i="4"/>
  <c r="AL17" i="4" s="1"/>
  <c r="AH12" i="4"/>
  <c r="AM12" i="4" s="1"/>
  <c r="AF14" i="4"/>
  <c r="AK14" i="4" s="1"/>
  <c r="AQ27" i="4" l="1"/>
  <c r="AU27" i="4"/>
  <c r="AZ27" i="4"/>
  <c r="AT27" i="4"/>
  <c r="AS27" i="4"/>
  <c r="AQ18" i="4"/>
  <c r="AS18" i="4"/>
  <c r="AT18" i="4"/>
  <c r="AR18" i="4"/>
  <c r="AP37" i="4"/>
  <c r="AU37" i="4" s="1"/>
  <c r="AP36" i="4"/>
  <c r="AP35" i="4"/>
  <c r="AT37" i="4"/>
  <c r="AT36" i="4"/>
  <c r="AT35" i="4"/>
  <c r="AS35" i="4"/>
  <c r="AS36" i="4"/>
  <c r="AS37" i="4"/>
  <c r="AX37" i="4" s="1"/>
  <c r="AT13" i="4"/>
  <c r="AT16" i="4"/>
  <c r="AT17" i="4"/>
  <c r="AT14" i="4"/>
  <c r="AT15" i="4"/>
  <c r="AR36" i="4"/>
  <c r="AR35" i="4"/>
  <c r="AR37" i="4"/>
  <c r="AQ36" i="4"/>
  <c r="AQ35" i="4"/>
  <c r="AQ37" i="4"/>
  <c r="AV37" i="4" s="1"/>
  <c r="AT33" i="4"/>
  <c r="AT19" i="4"/>
  <c r="AT20" i="4"/>
  <c r="AY20" i="4" s="1"/>
  <c r="AT12" i="4"/>
  <c r="AT21" i="4"/>
  <c r="AT29" i="4"/>
  <c r="AT26" i="4"/>
  <c r="AT23" i="4"/>
  <c r="AT25" i="4"/>
  <c r="AT22" i="4"/>
  <c r="AT28" i="4"/>
  <c r="AT24" i="4"/>
  <c r="AR16" i="4"/>
  <c r="AR33" i="4"/>
  <c r="AR29" i="4"/>
  <c r="AR26" i="4"/>
  <c r="AR23" i="4"/>
  <c r="AR13" i="4"/>
  <c r="AW9" i="4"/>
  <c r="AR15" i="4"/>
  <c r="AR30" i="4"/>
  <c r="AR25" i="4"/>
  <c r="AR17" i="4"/>
  <c r="AY9" i="4"/>
  <c r="AT30" i="4"/>
  <c r="AT31" i="4"/>
  <c r="AY31" i="4" s="1"/>
  <c r="AT32" i="4"/>
  <c r="AR14" i="4"/>
  <c r="AR31" i="4"/>
  <c r="AW31" i="4" s="1"/>
  <c r="AR12" i="4"/>
  <c r="AR19" i="4"/>
  <c r="AR20" i="4"/>
  <c r="AW20" i="4" s="1"/>
  <c r="AR28" i="4"/>
  <c r="AR21" i="4"/>
  <c r="AR22" i="4"/>
  <c r="AR24" i="4"/>
  <c r="AR34" i="4"/>
  <c r="AT34" i="4"/>
  <c r="AR32" i="4"/>
  <c r="AV9" i="4"/>
  <c r="AU9" i="4"/>
  <c r="AS15" i="4"/>
  <c r="AS19" i="4"/>
  <c r="AS23" i="4"/>
  <c r="AS28" i="4"/>
  <c r="AS32" i="4"/>
  <c r="AS13" i="4"/>
  <c r="AS26" i="4"/>
  <c r="AS16" i="4"/>
  <c r="AS20" i="4"/>
  <c r="AX20" i="4" s="1"/>
  <c r="AX17" i="4" s="1"/>
  <c r="AS24" i="4"/>
  <c r="AS29" i="4"/>
  <c r="AS33" i="4"/>
  <c r="AS14" i="4"/>
  <c r="AS22" i="4"/>
  <c r="AS12" i="4"/>
  <c r="AS17" i="4"/>
  <c r="AS21" i="4"/>
  <c r="AS25" i="4"/>
  <c r="AS30" i="4"/>
  <c r="AS34" i="4"/>
  <c r="AX34" i="4" s="1"/>
  <c r="AS31" i="4"/>
  <c r="AX31" i="4" s="1"/>
  <c r="AQ15" i="4"/>
  <c r="AQ19" i="4"/>
  <c r="AQ23" i="4"/>
  <c r="AQ28" i="4"/>
  <c r="AQ32" i="4"/>
  <c r="AQ13" i="4"/>
  <c r="AQ26" i="4"/>
  <c r="AQ16" i="4"/>
  <c r="AQ20" i="4"/>
  <c r="AV20" i="4" s="1"/>
  <c r="AQ24" i="4"/>
  <c r="AQ29" i="4"/>
  <c r="AQ33" i="4"/>
  <c r="AQ14" i="4"/>
  <c r="AQ31" i="4"/>
  <c r="AV31" i="4" s="1"/>
  <c r="AQ17" i="4"/>
  <c r="AQ21" i="4"/>
  <c r="AQ25" i="4"/>
  <c r="AQ30" i="4"/>
  <c r="AQ34" i="4"/>
  <c r="AV34" i="4" s="1"/>
  <c r="AQ22" i="4"/>
  <c r="AQ12" i="4"/>
  <c r="AP14" i="4"/>
  <c r="AP12" i="4"/>
  <c r="AP13" i="4"/>
  <c r="AP15" i="4"/>
  <c r="AP32" i="4"/>
  <c r="AP30" i="4"/>
  <c r="AP31" i="4"/>
  <c r="AU31" i="4" s="1"/>
  <c r="AP26" i="4"/>
  <c r="AP16" i="4"/>
  <c r="AP23" i="4"/>
  <c r="AP20" i="4"/>
  <c r="AU20" i="4" s="1"/>
  <c r="AP18" i="4"/>
  <c r="AP34" i="4"/>
  <c r="AU34" i="4" s="1"/>
  <c r="AP24" i="4"/>
  <c r="AP33" i="4"/>
  <c r="AP21" i="4"/>
  <c r="AP22" i="4"/>
  <c r="AP25" i="4"/>
  <c r="AP28" i="4"/>
  <c r="AP29" i="4"/>
  <c r="AP19" i="4"/>
  <c r="AP17" i="4"/>
  <c r="AX19" i="4" l="1"/>
  <c r="AV25" i="4"/>
  <c r="AV29" i="4"/>
  <c r="AV22" i="4"/>
  <c r="AV26" i="4"/>
  <c r="AV30" i="4"/>
  <c r="AV23" i="4"/>
  <c r="AV21" i="4"/>
  <c r="AV24" i="4"/>
  <c r="BA24" i="4" s="1"/>
  <c r="AV28" i="4"/>
  <c r="AW16" i="4"/>
  <c r="AW12" i="4"/>
  <c r="AW13" i="4"/>
  <c r="AW17" i="4"/>
  <c r="AW14" i="4"/>
  <c r="AW18" i="4"/>
  <c r="AW15" i="4"/>
  <c r="AW19" i="4"/>
  <c r="AY24" i="4"/>
  <c r="AY29" i="4"/>
  <c r="AY25" i="4"/>
  <c r="AY30" i="4"/>
  <c r="AY22" i="4"/>
  <c r="AY26" i="4"/>
  <c r="AY21" i="4"/>
  <c r="AY23" i="4"/>
  <c r="AY28" i="4"/>
  <c r="AY27" i="4"/>
  <c r="BD27" i="4"/>
  <c r="AU30" i="4"/>
  <c r="AU24" i="4"/>
  <c r="AU28" i="4"/>
  <c r="AU25" i="4"/>
  <c r="AU22" i="4"/>
  <c r="AU26" i="4"/>
  <c r="AU21" i="4"/>
  <c r="AU29" i="4"/>
  <c r="AU23" i="4"/>
  <c r="AU32" i="4"/>
  <c r="AU33" i="4"/>
  <c r="AX33" i="4"/>
  <c r="AX32" i="4"/>
  <c r="AX23" i="4"/>
  <c r="AX28" i="4"/>
  <c r="AX24" i="4"/>
  <c r="AX29" i="4"/>
  <c r="AX25" i="4"/>
  <c r="AX30" i="4"/>
  <c r="AX26" i="4"/>
  <c r="AX21" i="4"/>
  <c r="AX22" i="4"/>
  <c r="AX15" i="4"/>
  <c r="AX13" i="4"/>
  <c r="AX18" i="4"/>
  <c r="AX12" i="4"/>
  <c r="BC12" i="4" s="1"/>
  <c r="AV33" i="4"/>
  <c r="AV32" i="4"/>
  <c r="BA32" i="4" s="1"/>
  <c r="AV16" i="4"/>
  <c r="AV12" i="4"/>
  <c r="AV13" i="4"/>
  <c r="AV17" i="4"/>
  <c r="AV14" i="4"/>
  <c r="AV18" i="4"/>
  <c r="AV15" i="4"/>
  <c r="AV19" i="4"/>
  <c r="AW22" i="4"/>
  <c r="AW26" i="4"/>
  <c r="AW21" i="4"/>
  <c r="AW23" i="4"/>
  <c r="AW28" i="4"/>
  <c r="AW24" i="4"/>
  <c r="AW29" i="4"/>
  <c r="AW25" i="4"/>
  <c r="AW30" i="4"/>
  <c r="AY16" i="4"/>
  <c r="AY12" i="4"/>
  <c r="AY13" i="4"/>
  <c r="AY17" i="4"/>
  <c r="AY14" i="4"/>
  <c r="AY18" i="4"/>
  <c r="BD18" i="4" s="1"/>
  <c r="AY15" i="4"/>
  <c r="AY19" i="4"/>
  <c r="AX27" i="4"/>
  <c r="BC27" i="4"/>
  <c r="AX14" i="4"/>
  <c r="AX16" i="4"/>
  <c r="AV27" i="4"/>
  <c r="BA27" i="4"/>
  <c r="BA23" i="4"/>
  <c r="AW34" i="4"/>
  <c r="BB34" i="4" s="1"/>
  <c r="AW37" i="4"/>
  <c r="BB37" i="4" s="1"/>
  <c r="BB17" i="4"/>
  <c r="BA16" i="4"/>
  <c r="BA29" i="4"/>
  <c r="BA28" i="4"/>
  <c r="BA26" i="4"/>
  <c r="BA33" i="4"/>
  <c r="BA31" i="4"/>
  <c r="BD30" i="4"/>
  <c r="BD19" i="4"/>
  <c r="AY37" i="4"/>
  <c r="BD37" i="4" s="1"/>
  <c r="AY34" i="4"/>
  <c r="AY32" i="4" s="1"/>
  <c r="AX36" i="4"/>
  <c r="BC36" i="4" s="1"/>
  <c r="BA37" i="4"/>
  <c r="BA25" i="4"/>
  <c r="BA30" i="4"/>
  <c r="BA34" i="4"/>
  <c r="AW33" i="4" l="1"/>
  <c r="BB33" i="4" s="1"/>
  <c r="AW32" i="4"/>
  <c r="AY33" i="4"/>
  <c r="BD21" i="4"/>
  <c r="AW36" i="4"/>
  <c r="BB36" i="4" s="1"/>
  <c r="BD20" i="4"/>
  <c r="BD23" i="4"/>
  <c r="BB15" i="4"/>
  <c r="BB18" i="4"/>
  <c r="BB20" i="4"/>
  <c r="BB24" i="4"/>
  <c r="BB21" i="4"/>
  <c r="BB19" i="4"/>
  <c r="BB22" i="4"/>
  <c r="BB23" i="4"/>
  <c r="BB12" i="4"/>
  <c r="BB13" i="4"/>
  <c r="BB31" i="4"/>
  <c r="BB32" i="4"/>
  <c r="BB29" i="4"/>
  <c r="BB26" i="4"/>
  <c r="BB28" i="4"/>
  <c r="BB14" i="4"/>
  <c r="AW35" i="4"/>
  <c r="BB35" i="4" s="1"/>
  <c r="BB30" i="4"/>
  <c r="BB25" i="4"/>
  <c r="BB16" i="4"/>
  <c r="AY35" i="4"/>
  <c r="BD35" i="4" s="1"/>
  <c r="AY36" i="4"/>
  <c r="BD36" i="4" s="1"/>
  <c r="BD26" i="4"/>
  <c r="BD28" i="4"/>
  <c r="BD29" i="4"/>
  <c r="BD34" i="4"/>
  <c r="BD25" i="4"/>
  <c r="BD22" i="4"/>
  <c r="BD24" i="4"/>
  <c r="BD32" i="4"/>
  <c r="BD33" i="4"/>
  <c r="BC37" i="4"/>
  <c r="AX35" i="4"/>
  <c r="BC35" i="4" s="1"/>
  <c r="AV36" i="4"/>
  <c r="BA36" i="4" s="1"/>
  <c r="AV35" i="4"/>
  <c r="BA35" i="4" s="1"/>
  <c r="BC13" i="4"/>
  <c r="BA15" i="4"/>
  <c r="BC16" i="4"/>
  <c r="BA14" i="4"/>
  <c r="BA13" i="4"/>
  <c r="BA12" i="4"/>
  <c r="BC30" i="4"/>
  <c r="BC15" i="4"/>
  <c r="BA21" i="4"/>
  <c r="BA19" i="4"/>
  <c r="BA17" i="4"/>
  <c r="BA18" i="4"/>
  <c r="BA22" i="4"/>
  <c r="BA20" i="4"/>
  <c r="BC20" i="4"/>
  <c r="BC21" i="4"/>
  <c r="BC19" i="4"/>
  <c r="BC18" i="4"/>
  <c r="BC22" i="4"/>
  <c r="BC17" i="4"/>
  <c r="BC14" i="4"/>
  <c r="BC26" i="4"/>
  <c r="BC33" i="4"/>
  <c r="BC24" i="4"/>
  <c r="BC25" i="4"/>
  <c r="BC28" i="4"/>
  <c r="BC23" i="4"/>
  <c r="BC29" i="4"/>
  <c r="BC34" i="4"/>
  <c r="BC32" i="4"/>
  <c r="BC31" i="4"/>
  <c r="AZ34" i="4" l="1"/>
  <c r="AZ30" i="4"/>
  <c r="AZ25" i="4"/>
  <c r="AZ37" i="4" l="1"/>
  <c r="AU36" i="4"/>
  <c r="AZ36" i="4" s="1"/>
  <c r="AU35" i="4"/>
  <c r="AZ35" i="4" s="1"/>
  <c r="BD13" i="4" l="1"/>
  <c r="BD16" i="4"/>
  <c r="BD12" i="4"/>
  <c r="BD17" i="4"/>
  <c r="BD15" i="4"/>
  <c r="BD14" i="4"/>
  <c r="AZ26" i="4"/>
  <c r="AZ28" i="4"/>
  <c r="AZ29" i="4"/>
  <c r="AZ31" i="4"/>
  <c r="AZ33" i="4"/>
  <c r="AZ32" i="4"/>
  <c r="BD31" i="4"/>
  <c r="AZ20" i="4" l="1"/>
  <c r="AZ24" i="4"/>
  <c r="AU17" i="4"/>
  <c r="AZ17" i="4" s="1"/>
  <c r="AU12" i="4"/>
  <c r="AZ12" i="4" s="1"/>
  <c r="AU19" i="4"/>
  <c r="AZ19" i="4"/>
  <c r="AZ22" i="4"/>
  <c r="AU16" i="4"/>
  <c r="AU15" i="4"/>
  <c r="AZ15" i="4" s="1"/>
  <c r="AU13" i="4"/>
  <c r="AZ13" i="4" s="1"/>
  <c r="AU14" i="4"/>
  <c r="AZ14" i="4" s="1"/>
  <c r="AU18" i="4"/>
  <c r="AZ18" i="4" s="1"/>
  <c r="AZ21" i="4"/>
  <c r="AZ23" i="4" l="1"/>
</calcChain>
</file>

<file path=xl/sharedStrings.xml><?xml version="1.0" encoding="utf-8"?>
<sst xmlns="http://schemas.openxmlformats.org/spreadsheetml/2006/main" count="462" uniqueCount="121">
  <si>
    <t>Vial 29.gcd</t>
  </si>
  <si>
    <t>-----</t>
  </si>
  <si>
    <t>Vial 30.gcd</t>
  </si>
  <si>
    <t>Vial 31.gcd</t>
  </si>
  <si>
    <t>Vial 32.gcd</t>
  </si>
  <si>
    <t>Vial 33.gcd</t>
  </si>
  <si>
    <t>Vial 34.gcd</t>
  </si>
  <si>
    <t>Vial 35.gcd</t>
  </si>
  <si>
    <t>Vial 36.gcd</t>
  </si>
  <si>
    <t>Vial 37.gcd</t>
  </si>
  <si>
    <t>Vial 38.gcd</t>
  </si>
  <si>
    <t>Vial 39.gcd</t>
  </si>
  <si>
    <t>Vial 40.gcd</t>
  </si>
  <si>
    <t>Vial 41.gcd</t>
  </si>
  <si>
    <t>Vial 42.gcd</t>
  </si>
  <si>
    <t>Vial 43.gcd</t>
  </si>
  <si>
    <t>Vial 44.gcd</t>
  </si>
  <si>
    <t>Vial 45.gcd</t>
  </si>
  <si>
    <t>Vial 46.gcd</t>
  </si>
  <si>
    <t>Vial 47.gcd</t>
  </si>
  <si>
    <t>Vial 48.gcd</t>
  </si>
  <si>
    <t>Vial 49.gcd</t>
  </si>
  <si>
    <t>Vial 50.gcd</t>
  </si>
  <si>
    <t>Vial 51.gcd</t>
  </si>
  <si>
    <t>Vial 52.gcd</t>
  </si>
  <si>
    <t>Vial 53.gcd</t>
  </si>
  <si>
    <t>Vial 54.gcd</t>
  </si>
  <si>
    <t>Vial 55.gcd</t>
  </si>
  <si>
    <t>Vial 56.gcd</t>
  </si>
  <si>
    <t>Vial 57.gcd</t>
  </si>
  <si>
    <t>Vial 58.gcd</t>
  </si>
  <si>
    <t>Vial 59.gcd</t>
  </si>
  <si>
    <t>Vial 60.gcd</t>
  </si>
  <si>
    <t>Data Filename</t>
  </si>
  <si>
    <t>Area</t>
  </si>
  <si>
    <t>Ethane</t>
  </si>
  <si>
    <t>SF6</t>
  </si>
  <si>
    <t>N2O</t>
  </si>
  <si>
    <t>Helium</t>
  </si>
  <si>
    <t>Description</t>
  </si>
  <si>
    <t>Tracer Sol 1</t>
  </si>
  <si>
    <t>Tracer Sol 2</t>
  </si>
  <si>
    <t>Tracer Sol 3</t>
  </si>
  <si>
    <t>Tracer Sol 4</t>
  </si>
  <si>
    <t>Tracer Sol 5</t>
  </si>
  <si>
    <t>Tracer Sol 6</t>
  </si>
  <si>
    <t>Tracer Sol 7</t>
  </si>
  <si>
    <t>Tracer Sol 8</t>
  </si>
  <si>
    <t>Port 2D</t>
  </si>
  <si>
    <t>Port 1C</t>
  </si>
  <si>
    <t>Port 3B</t>
  </si>
  <si>
    <t>Eff 3 T1</t>
  </si>
  <si>
    <t>Eff 3 T2</t>
  </si>
  <si>
    <t>Eff 3 T3</t>
  </si>
  <si>
    <t>Eff 3 T4</t>
  </si>
  <si>
    <t>Eff 3 T5</t>
  </si>
  <si>
    <t>Eff 3 T6</t>
  </si>
  <si>
    <t>Eff 3 T7</t>
  </si>
  <si>
    <t>Port 2C</t>
  </si>
  <si>
    <t>Eff 3 T8</t>
  </si>
  <si>
    <t>Eff 3 T9</t>
  </si>
  <si>
    <t>Eff 3 T10</t>
  </si>
  <si>
    <t>Eff 3 T11</t>
  </si>
  <si>
    <t>Eff 3 T12</t>
  </si>
  <si>
    <t>Eff 3 T13</t>
  </si>
  <si>
    <t>Eff 3 T14</t>
  </si>
  <si>
    <t>Eff 3 T15</t>
  </si>
  <si>
    <t>Eff 3 T16</t>
  </si>
  <si>
    <t>Eff 3 T17</t>
  </si>
  <si>
    <t>Time</t>
  </si>
  <si>
    <t>Timepoint</t>
  </si>
  <si>
    <t>Timepoint (min)</t>
  </si>
  <si>
    <t>Peak Areas</t>
  </si>
  <si>
    <t>Empty Vial (g)</t>
  </si>
  <si>
    <t>Vial &amp; Sample (g)</t>
  </si>
  <si>
    <t>Vial &amp; Displaced Sample (g)</t>
  </si>
  <si>
    <t>Headspace Volume (mL)</t>
  </si>
  <si>
    <t>Aqueous Volume (mL)</t>
  </si>
  <si>
    <t>Nitrous Oxide</t>
  </si>
  <si>
    <t>Sulfur Hexafluoride</t>
  </si>
  <si>
    <t>Headspace Gas Concentration (mg/L) [Assuming headspace is N2]</t>
  </si>
  <si>
    <t>Partitioned Aqueous Concentrations (mg/L) [Henry's Law Gas Conversion Sheet]</t>
  </si>
  <si>
    <t>Total Mass in Vial (mg)</t>
  </si>
  <si>
    <t>Initial Concentration Prior to Equilibrium (mg/L)</t>
  </si>
  <si>
    <t>Zeroed Concentrations (mg/L)</t>
  </si>
  <si>
    <t>Corrected Tracer Solution (mg/L)</t>
  </si>
  <si>
    <t>Normalized Concentrations</t>
  </si>
  <si>
    <t>Bromide</t>
  </si>
  <si>
    <t>Normalized C/C0</t>
  </si>
  <si>
    <t>Vial 1.gcd</t>
  </si>
  <si>
    <t>Vial 2.gcd</t>
  </si>
  <si>
    <t>Vial 3.gcd</t>
  </si>
  <si>
    <t>Vial 4.gcd</t>
  </si>
  <si>
    <t>Vial 5.gcd</t>
  </si>
  <si>
    <t>Vial 6.gcd</t>
  </si>
  <si>
    <t>Vial 7.gcd</t>
  </si>
  <si>
    <t>Vial 8.gcd</t>
  </si>
  <si>
    <t>Vial 9.gcd</t>
  </si>
  <si>
    <t>Vial 10.gcd</t>
  </si>
  <si>
    <t>Vial 11.gcd</t>
  </si>
  <si>
    <t>Vial 12.gcd</t>
  </si>
  <si>
    <t>Vial 13.gcd</t>
  </si>
  <si>
    <t>Vial 14.gcd</t>
  </si>
  <si>
    <t>Vial 15.gcd</t>
  </si>
  <si>
    <t>Vial 16.gcd</t>
  </si>
  <si>
    <t>Vial 17.gcd</t>
  </si>
  <si>
    <t>Vial 18.gcd</t>
  </si>
  <si>
    <t>Vial 19.gcd</t>
  </si>
  <si>
    <t>Vial 20.gcd</t>
  </si>
  <si>
    <t>Vial 21.gcd</t>
  </si>
  <si>
    <t>Vial 22.gcd</t>
  </si>
  <si>
    <t>Vial 23.gcd</t>
  </si>
  <si>
    <t>Vial 24.gcd</t>
  </si>
  <si>
    <t>Vial 25.gcd</t>
  </si>
  <si>
    <t>Vial 26.gcd</t>
  </si>
  <si>
    <t>Vial 27.gcd</t>
  </si>
  <si>
    <t>Vial 28.gcd</t>
  </si>
  <si>
    <t>Eff 3</t>
  </si>
  <si>
    <t>Methane</t>
  </si>
  <si>
    <t>Concentration [ppmv] (From Sanam Cal Curves) and Dec 19, 2017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</si>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</sst>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3" fontId="0" fillId="0" borderId="0" xfId="0" applyNumberFormat="1"/>
    <xf numFmtId="20" fontId="0" fillId="0" borderId="0" xfId="0" applyNumberFormat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1" fontId="0" fillId="3" borderId="0" xfId="0" applyNumberFormat="1" applyFill="1" applyAlignment="1">
      <alignment horizontal="center"/>
    </xf>
    <xf numFmtId="20" fontId="0" fillId="3" borderId="0" xfId="0" applyNumberFormat="1" applyFill="1" applyAlignment="1">
      <alignment horizontal="center"/>
    </xf>
    <xf numFmtId="0" fontId="0" fillId="3" borderId="0" xfId="0" applyNumberFormat="1" applyFill="1" applyAlignment="1">
      <alignment horizontal="center"/>
    </xf>
    <xf numFmtId="20" fontId="0" fillId="0" borderId="0" xfId="0" applyNumberFormat="1" applyFill="1" applyAlignment="1">
      <alignment horizontal="center"/>
    </xf>
    <xf numFmtId="0" fontId="0" fillId="0" borderId="0" xfId="0" applyFill="1"/>
    <xf numFmtId="0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3" fontId="0" fillId="3" borderId="0" xfId="0" applyNumberFormat="1" applyFill="1"/>
    <xf numFmtId="0" fontId="0" fillId="0" borderId="0" xfId="0" applyFill="1" applyAlignment="1">
      <alignment horizontal="center"/>
    </xf>
    <xf numFmtId="3" fontId="0" fillId="0" borderId="0" xfId="0" applyNumberFormat="1" applyFill="1"/>
    <xf numFmtId="0" fontId="0" fillId="2" borderId="0" xfId="0" applyNumberFormat="1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Ethane</c:v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('Aqueous Samples'!$D$12:$D$19,'Aqueous Samples'!$D$21:$D$26,'Aqueous Samples'!$D$28:$D$30,'Aqueous Samples'!$D$32:$D$33,'Aqueous Samples'!$D$35:$D$36)</c:f>
              <c:numCache>
                <c:formatCode>0</c:formatCode>
                <c:ptCount val="21"/>
                <c:pt idx="0">
                  <c:v>0</c:v>
                </c:pt>
                <c:pt idx="1">
                  <c:v>19.999999999999929</c:v>
                </c:pt>
                <c:pt idx="2">
                  <c:v>40.999999999999936</c:v>
                </c:pt>
                <c:pt idx="3">
                  <c:v>60.999999999999943</c:v>
                </c:pt>
                <c:pt idx="4">
                  <c:v>79.999999999999957</c:v>
                </c:pt>
                <c:pt idx="5">
                  <c:v>99.999999999999972</c:v>
                </c:pt>
                <c:pt idx="6">
                  <c:v>119.99999999999997</c:v>
                </c:pt>
                <c:pt idx="7">
                  <c:v>139.99999999999991</c:v>
                </c:pt>
                <c:pt idx="8">
                  <c:v>161</c:v>
                </c:pt>
                <c:pt idx="9">
                  <c:v>180.99999999999991</c:v>
                </c:pt>
                <c:pt idx="10">
                  <c:v>201</c:v>
                </c:pt>
                <c:pt idx="11">
                  <c:v>217.99999999999994</c:v>
                </c:pt>
                <c:pt idx="12">
                  <c:v>248</c:v>
                </c:pt>
                <c:pt idx="13">
                  <c:v>278.00000000000006</c:v>
                </c:pt>
                <c:pt idx="14">
                  <c:v>317.99999999999989</c:v>
                </c:pt>
                <c:pt idx="15">
                  <c:v>368.00000000000006</c:v>
                </c:pt>
                <c:pt idx="16">
                  <c:v>413.00000000000006</c:v>
                </c:pt>
                <c:pt idx="17">
                  <c:v>473</c:v>
                </c:pt>
                <c:pt idx="18">
                  <c:v>543.00000000000011</c:v>
                </c:pt>
                <c:pt idx="19">
                  <c:v>617</c:v>
                </c:pt>
                <c:pt idx="20">
                  <c:v>720</c:v>
                </c:pt>
              </c:numCache>
            </c:numRef>
          </c:xVal>
          <c:yVal>
            <c:numRef>
              <c:f>('Aqueous Samples'!$AZ$12:$AZ$19,'Aqueous Samples'!$AZ$21:$AZ$26,'Aqueous Samples'!$AZ$28:$AZ$30,'Aqueous Samples'!$AZ$32:$AZ$33,'Aqueous Samples'!$AZ$35:$AZ$36)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0.45604208307742716</c:v>
                </c:pt>
                <c:pt idx="5">
                  <c:v>0.50182370685544508</c:v>
                </c:pt>
                <c:pt idx="6">
                  <c:v>0.57829133340165362</c:v>
                </c:pt>
                <c:pt idx="7">
                  <c:v>0.62073466712703806</c:v>
                </c:pt>
                <c:pt idx="8">
                  <c:v>0.67142469464263876</c:v>
                </c:pt>
                <c:pt idx="9">
                  <c:v>0.6102832976058693</c:v>
                </c:pt>
                <c:pt idx="10">
                  <c:v>0.71380117209345706</c:v>
                </c:pt>
                <c:pt idx="11">
                  <c:v>0.6992074300632245</c:v>
                </c:pt>
                <c:pt idx="12">
                  <c:v>0.74898715383511894</c:v>
                </c:pt>
                <c:pt idx="13">
                  <c:v>0.77288973877701783</c:v>
                </c:pt>
                <c:pt idx="14">
                  <c:v>0.82056489632271046</c:v>
                </c:pt>
                <c:pt idx="15">
                  <c:v>0.84460309804679978</c:v>
                </c:pt>
                <c:pt idx="16">
                  <c:v>0.90733710499572917</c:v>
                </c:pt>
                <c:pt idx="17">
                  <c:v>0.83595434054919593</c:v>
                </c:pt>
                <c:pt idx="18">
                  <c:v>0.86694247986373119</c:v>
                </c:pt>
                <c:pt idx="19">
                  <c:v>0.87769347935171749</c:v>
                </c:pt>
                <c:pt idx="20">
                  <c:v>1.0091276357192078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864E-4359-97F5-19E8C32220A9}"/>
            </c:ext>
          </c:extLst>
        </c:ser>
        <c:ser>
          <c:idx val="1"/>
          <c:order val="1"/>
          <c:tx>
            <c:v>Helium</c:v>
          </c:tx>
          <c:spPr>
            <a:ln w="25400" cap="rnd">
              <a:solidFill>
                <a:srgbClr val="00206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('Aqueous Samples'!$D$12:$D$19,'Aqueous Samples'!$D$21:$D$26,'Aqueous Samples'!$D$28:$D$30,'Aqueous Samples'!$D$32:$D$33,'Aqueous Samples'!$D$35:$D$36)</c:f>
              <c:numCache>
                <c:formatCode>0</c:formatCode>
                <c:ptCount val="21"/>
                <c:pt idx="0">
                  <c:v>0</c:v>
                </c:pt>
                <c:pt idx="1">
                  <c:v>19.999999999999929</c:v>
                </c:pt>
                <c:pt idx="2">
                  <c:v>40.999999999999936</c:v>
                </c:pt>
                <c:pt idx="3">
                  <c:v>60.999999999999943</c:v>
                </c:pt>
                <c:pt idx="4">
                  <c:v>79.999999999999957</c:v>
                </c:pt>
                <c:pt idx="5">
                  <c:v>99.999999999999972</c:v>
                </c:pt>
                <c:pt idx="6">
                  <c:v>119.99999999999997</c:v>
                </c:pt>
                <c:pt idx="7">
                  <c:v>139.99999999999991</c:v>
                </c:pt>
                <c:pt idx="8">
                  <c:v>161</c:v>
                </c:pt>
                <c:pt idx="9">
                  <c:v>180.99999999999991</c:v>
                </c:pt>
                <c:pt idx="10">
                  <c:v>201</c:v>
                </c:pt>
                <c:pt idx="11">
                  <c:v>217.99999999999994</c:v>
                </c:pt>
                <c:pt idx="12">
                  <c:v>248</c:v>
                </c:pt>
                <c:pt idx="13">
                  <c:v>278.00000000000006</c:v>
                </c:pt>
                <c:pt idx="14">
                  <c:v>317.99999999999989</c:v>
                </c:pt>
                <c:pt idx="15">
                  <c:v>368.00000000000006</c:v>
                </c:pt>
                <c:pt idx="16">
                  <c:v>413.00000000000006</c:v>
                </c:pt>
                <c:pt idx="17">
                  <c:v>473</c:v>
                </c:pt>
                <c:pt idx="18">
                  <c:v>543.00000000000011</c:v>
                </c:pt>
                <c:pt idx="19">
                  <c:v>617</c:v>
                </c:pt>
                <c:pt idx="20">
                  <c:v>720</c:v>
                </c:pt>
              </c:numCache>
            </c:numRef>
          </c:xVal>
          <c:yVal>
            <c:numRef>
              <c:f>('Aqueous Samples'!$BA$12:$BA$19,'Aqueous Samples'!$BA$21:$BA$26,'Aqueous Samples'!$BA$28:$BA$30,'Aqueous Samples'!$BA$32:$BA$33,'Aqueous Samples'!$BA$35:$BA$36)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5.5577312641172633E-2</c:v>
                </c:pt>
                <c:pt idx="4">
                  <c:v>0.10500202364661657</c:v>
                </c:pt>
                <c:pt idx="5">
                  <c:v>0.16719927568003401</c:v>
                </c:pt>
                <c:pt idx="6">
                  <c:v>0.22804504792990929</c:v>
                </c:pt>
                <c:pt idx="7">
                  <c:v>0.25905355633550731</c:v>
                </c:pt>
                <c:pt idx="8">
                  <c:v>0.27372122188180031</c:v>
                </c:pt>
                <c:pt idx="9">
                  <c:v>0.2931965828528616</c:v>
                </c:pt>
                <c:pt idx="10">
                  <c:v>0.30678153820688142</c:v>
                </c:pt>
                <c:pt idx="11">
                  <c:v>0.3072134249967875</c:v>
                </c:pt>
                <c:pt idx="12">
                  <c:v>0.34112150508893013</c:v>
                </c:pt>
                <c:pt idx="13">
                  <c:v>0.36554301407740836</c:v>
                </c:pt>
                <c:pt idx="14">
                  <c:v>0.43925898008296899</c:v>
                </c:pt>
                <c:pt idx="15">
                  <c:v>0.47389580782643104</c:v>
                </c:pt>
                <c:pt idx="16">
                  <c:v>0.51323072345200282</c:v>
                </c:pt>
                <c:pt idx="17">
                  <c:v>0.50898674394171928</c:v>
                </c:pt>
                <c:pt idx="18">
                  <c:v>0.56256318593308297</c:v>
                </c:pt>
                <c:pt idx="19">
                  <c:v>0.58321784197658799</c:v>
                </c:pt>
                <c:pt idx="20">
                  <c:v>0.70925890326465457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864E-4359-97F5-19E8C32220A9}"/>
            </c:ext>
          </c:extLst>
        </c:ser>
        <c:ser>
          <c:idx val="3"/>
          <c:order val="2"/>
          <c:tx>
            <c:v>Sulfur Hexafluoride</c:v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('Aqueous Samples'!$D$12:$D$19,'Aqueous Samples'!$D$21:$D$26,'Aqueous Samples'!$D$28:$D$30,'Aqueous Samples'!$D$32:$D$33,'Aqueous Samples'!$D$35:$D$36)</c:f>
              <c:numCache>
                <c:formatCode>0</c:formatCode>
                <c:ptCount val="21"/>
                <c:pt idx="0">
                  <c:v>0</c:v>
                </c:pt>
                <c:pt idx="1">
                  <c:v>19.999999999999929</c:v>
                </c:pt>
                <c:pt idx="2">
                  <c:v>40.999999999999936</c:v>
                </c:pt>
                <c:pt idx="3">
                  <c:v>60.999999999999943</c:v>
                </c:pt>
                <c:pt idx="4">
                  <c:v>79.999999999999957</c:v>
                </c:pt>
                <c:pt idx="5">
                  <c:v>99.999999999999972</c:v>
                </c:pt>
                <c:pt idx="6">
                  <c:v>119.99999999999997</c:v>
                </c:pt>
                <c:pt idx="7">
                  <c:v>139.99999999999991</c:v>
                </c:pt>
                <c:pt idx="8">
                  <c:v>161</c:v>
                </c:pt>
                <c:pt idx="9">
                  <c:v>180.99999999999991</c:v>
                </c:pt>
                <c:pt idx="10">
                  <c:v>201</c:v>
                </c:pt>
                <c:pt idx="11">
                  <c:v>217.99999999999994</c:v>
                </c:pt>
                <c:pt idx="12">
                  <c:v>248</c:v>
                </c:pt>
                <c:pt idx="13">
                  <c:v>278.00000000000006</c:v>
                </c:pt>
                <c:pt idx="14">
                  <c:v>317.99999999999989</c:v>
                </c:pt>
                <c:pt idx="15">
                  <c:v>368.00000000000006</c:v>
                </c:pt>
                <c:pt idx="16">
                  <c:v>413.00000000000006</c:v>
                </c:pt>
                <c:pt idx="17">
                  <c:v>473</c:v>
                </c:pt>
                <c:pt idx="18">
                  <c:v>543.00000000000011</c:v>
                </c:pt>
                <c:pt idx="19">
                  <c:v>617</c:v>
                </c:pt>
                <c:pt idx="20">
                  <c:v>720</c:v>
                </c:pt>
              </c:numCache>
            </c:numRef>
          </c:xVal>
          <c:yVal>
            <c:numRef>
              <c:f>('Aqueous Samples'!$BC$12:$BC$19,'Aqueous Samples'!$BC$21:$BC$26,'Aqueous Samples'!$BC$28:$BC$30,'Aqueous Samples'!$BC$32:$BC$33,'Aqueous Samples'!$BC$35:$BC$36)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0.39809956503267996</c:v>
                </c:pt>
                <c:pt idx="4">
                  <c:v>0.52816016768615281</c:v>
                </c:pt>
                <c:pt idx="5">
                  <c:v>0.59015404224232781</c:v>
                </c:pt>
                <c:pt idx="6">
                  <c:v>0.63569238123816907</c:v>
                </c:pt>
                <c:pt idx="7">
                  <c:v>0.68135459828076927</c:v>
                </c:pt>
                <c:pt idx="8">
                  <c:v>0.69144979810297735</c:v>
                </c:pt>
                <c:pt idx="9">
                  <c:v>0.64956860405476335</c:v>
                </c:pt>
                <c:pt idx="10">
                  <c:v>0.76138130055607445</c:v>
                </c:pt>
                <c:pt idx="11">
                  <c:v>0.72960200811711173</c:v>
                </c:pt>
                <c:pt idx="12">
                  <c:v>0.77804760947646279</c:v>
                </c:pt>
                <c:pt idx="13">
                  <c:v>0.80201219792929968</c:v>
                </c:pt>
                <c:pt idx="14">
                  <c:v>0.83702032764813461</c:v>
                </c:pt>
                <c:pt idx="15">
                  <c:v>0.81154308826742194</c:v>
                </c:pt>
                <c:pt idx="16">
                  <c:v>0.83941496343298494</c:v>
                </c:pt>
                <c:pt idx="17">
                  <c:v>0.81152347688297044</c:v>
                </c:pt>
                <c:pt idx="18">
                  <c:v>0.83847668138325893</c:v>
                </c:pt>
                <c:pt idx="19">
                  <c:v>0.85976065181836014</c:v>
                </c:pt>
                <c:pt idx="20">
                  <c:v>0.95535597277036477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864E-4359-97F5-19E8C32220A9}"/>
            </c:ext>
          </c:extLst>
        </c:ser>
        <c:ser>
          <c:idx val="2"/>
          <c:order val="3"/>
          <c:tx>
            <c:v>Bromide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9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('Aqueous Samples'!$BG$12:$BG$26,'Aqueous Samples'!$BG$28:$BG$30,'Aqueous Samples'!$BG$32:$BG$38,'Aqueous Samples'!$BG$40:$BG$42,'Aqueous Samples'!$BG$44:$BG$45,'Aqueous Samples'!$BG$47:$BG$48)</c:f>
              <c:numCache>
                <c:formatCode>0</c:formatCode>
                <c:ptCount val="32"/>
                <c:pt idx="0" formatCode="General">
                  <c:v>0</c:v>
                </c:pt>
                <c:pt idx="1">
                  <c:v>10</c:v>
                </c:pt>
                <c:pt idx="2" formatCode="General">
                  <c:v>19.999999999999929</c:v>
                </c:pt>
                <c:pt idx="3">
                  <c:v>31</c:v>
                </c:pt>
                <c:pt idx="4" formatCode="General">
                  <c:v>40.999999999999936</c:v>
                </c:pt>
                <c:pt idx="5">
                  <c:v>51</c:v>
                </c:pt>
                <c:pt idx="6" formatCode="General">
                  <c:v>60.999999999999943</c:v>
                </c:pt>
                <c:pt idx="7">
                  <c:v>71</c:v>
                </c:pt>
                <c:pt idx="8" formatCode="General">
                  <c:v>79.999999999999957</c:v>
                </c:pt>
                <c:pt idx="9">
                  <c:v>92</c:v>
                </c:pt>
                <c:pt idx="10" formatCode="General">
                  <c:v>99.999999999999972</c:v>
                </c:pt>
                <c:pt idx="11">
                  <c:v>112</c:v>
                </c:pt>
                <c:pt idx="12" formatCode="General">
                  <c:v>119.99999999999997</c:v>
                </c:pt>
                <c:pt idx="13">
                  <c:v>132</c:v>
                </c:pt>
                <c:pt idx="14" formatCode="General">
                  <c:v>139.99999999999991</c:v>
                </c:pt>
                <c:pt idx="15">
                  <c:v>152</c:v>
                </c:pt>
                <c:pt idx="16" formatCode="General">
                  <c:v>161</c:v>
                </c:pt>
                <c:pt idx="17">
                  <c:v>174</c:v>
                </c:pt>
                <c:pt idx="18">
                  <c:v>193</c:v>
                </c:pt>
                <c:pt idx="19" formatCode="General">
                  <c:v>201</c:v>
                </c:pt>
                <c:pt idx="20" formatCode="General">
                  <c:v>217.99999999999994</c:v>
                </c:pt>
                <c:pt idx="21">
                  <c:v>236</c:v>
                </c:pt>
                <c:pt idx="22" formatCode="General">
                  <c:v>248</c:v>
                </c:pt>
                <c:pt idx="23">
                  <c:v>266</c:v>
                </c:pt>
                <c:pt idx="24" formatCode="General">
                  <c:v>278.00000000000006</c:v>
                </c:pt>
                <c:pt idx="25" formatCode="General">
                  <c:v>317.99999999999989</c:v>
                </c:pt>
                <c:pt idx="26" formatCode="General">
                  <c:v>368.00000000000006</c:v>
                </c:pt>
                <c:pt idx="27" formatCode="General">
                  <c:v>413.00000000000006</c:v>
                </c:pt>
                <c:pt idx="28" formatCode="General">
                  <c:v>473</c:v>
                </c:pt>
                <c:pt idx="29" formatCode="General">
                  <c:v>543.00000000000011</c:v>
                </c:pt>
                <c:pt idx="30" formatCode="General">
                  <c:v>617</c:v>
                </c:pt>
                <c:pt idx="31" formatCode="General">
                  <c:v>720</c:v>
                </c:pt>
              </c:numCache>
            </c:numRef>
          </c:xVal>
          <c:yVal>
            <c:numRef>
              <c:f>('Aqueous Samples'!$BH$12:$BH$26,'Aqueous Samples'!$BH$28:$BH$30,'Aqueous Samples'!$BH$32:$BH$38,'Aqueous Samples'!$BH$40:$BH$42,'Aqueous Samples'!$BH$44:$BH$45,'Aqueous Samples'!$BH$47:$BH$48)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0.18523913155234165</c:v>
                </c:pt>
                <c:pt idx="5">
                  <c:v>0.31401545658618507</c:v>
                </c:pt>
                <c:pt idx="6">
                  <c:v>0.54997686652843703</c:v>
                </c:pt>
                <c:pt idx="7">
                  <c:v>0.58724745960210423</c:v>
                </c:pt>
                <c:pt idx="8">
                  <c:v>0.78850866219990756</c:v>
                </c:pt>
                <c:pt idx="9">
                  <c:v>0.77128707781414396</c:v>
                </c:pt>
                <c:pt idx="10">
                  <c:v>0.90571825145226792</c:v>
                </c:pt>
                <c:pt idx="11">
                  <c:v>0.86407800263892942</c:v>
                </c:pt>
                <c:pt idx="12">
                  <c:v>0.93193618589029592</c:v>
                </c:pt>
                <c:pt idx="13">
                  <c:v>0.89183816851448849</c:v>
                </c:pt>
                <c:pt idx="14">
                  <c:v>0.94967184742190314</c:v>
                </c:pt>
                <c:pt idx="15">
                  <c:v>0.89672190140000341</c:v>
                </c:pt>
                <c:pt idx="16">
                  <c:v>0.98154463046421181</c:v>
                </c:pt>
                <c:pt idx="17">
                  <c:v>0.89081001422280104</c:v>
                </c:pt>
                <c:pt idx="18">
                  <c:v>0.91034494576486125</c:v>
                </c:pt>
                <c:pt idx="19">
                  <c:v>0.99028394194355451</c:v>
                </c:pt>
                <c:pt idx="20">
                  <c:v>1.0013366005791939</c:v>
                </c:pt>
                <c:pt idx="21">
                  <c:v>0.95198519457819974</c:v>
                </c:pt>
                <c:pt idx="22">
                  <c:v>1.0103329506314582</c:v>
                </c:pt>
                <c:pt idx="23">
                  <c:v>0.91471460150453254</c:v>
                </c:pt>
                <c:pt idx="24">
                  <c:v>0.98822763336017971</c:v>
                </c:pt>
                <c:pt idx="25">
                  <c:v>0.93604880305704552</c:v>
                </c:pt>
                <c:pt idx="26">
                  <c:v>1.0077625649022397</c:v>
                </c:pt>
                <c:pt idx="27">
                  <c:v>0.98591428620388311</c:v>
                </c:pt>
                <c:pt idx="28">
                  <c:v>0.9905409805164761</c:v>
                </c:pt>
                <c:pt idx="29">
                  <c:v>0.98591428620388311</c:v>
                </c:pt>
                <c:pt idx="30">
                  <c:v>0.9792312833079152</c:v>
                </c:pt>
                <c:pt idx="31">
                  <c:v>0.96637935466182301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581A-4589-870E-228A5020F1A8}"/>
            </c:ext>
          </c:extLst>
        </c:ser>
        <c:ser>
          <c:idx val="4"/>
          <c:order val="4"/>
          <c:tx>
            <c:v>Nitrous Oxide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('Aqueous Samples'!$D$12:$D$19,'Aqueous Samples'!$D$21:$D$26,'Aqueous Samples'!$D$28:$D$30,'Aqueous Samples'!$D$32:$D$33,'Aqueous Samples'!$D$35:$D$36)</c:f>
              <c:numCache>
                <c:formatCode>0</c:formatCode>
                <c:ptCount val="21"/>
                <c:pt idx="0">
                  <c:v>0</c:v>
                </c:pt>
                <c:pt idx="1">
                  <c:v>19.999999999999929</c:v>
                </c:pt>
                <c:pt idx="2">
                  <c:v>40.999999999999936</c:v>
                </c:pt>
                <c:pt idx="3">
                  <c:v>60.999999999999943</c:v>
                </c:pt>
                <c:pt idx="4">
                  <c:v>79.999999999999957</c:v>
                </c:pt>
                <c:pt idx="5">
                  <c:v>99.999999999999972</c:v>
                </c:pt>
                <c:pt idx="6">
                  <c:v>119.99999999999997</c:v>
                </c:pt>
                <c:pt idx="7">
                  <c:v>139.99999999999991</c:v>
                </c:pt>
                <c:pt idx="8">
                  <c:v>161</c:v>
                </c:pt>
                <c:pt idx="9">
                  <c:v>180.99999999999991</c:v>
                </c:pt>
                <c:pt idx="10">
                  <c:v>201</c:v>
                </c:pt>
                <c:pt idx="11">
                  <c:v>217.99999999999994</c:v>
                </c:pt>
                <c:pt idx="12">
                  <c:v>248</c:v>
                </c:pt>
                <c:pt idx="13">
                  <c:v>278.00000000000006</c:v>
                </c:pt>
                <c:pt idx="14">
                  <c:v>317.99999999999989</c:v>
                </c:pt>
                <c:pt idx="15">
                  <c:v>368.00000000000006</c:v>
                </c:pt>
                <c:pt idx="16">
                  <c:v>413.00000000000006</c:v>
                </c:pt>
                <c:pt idx="17">
                  <c:v>473</c:v>
                </c:pt>
                <c:pt idx="18">
                  <c:v>543.00000000000011</c:v>
                </c:pt>
                <c:pt idx="19">
                  <c:v>617</c:v>
                </c:pt>
                <c:pt idx="20">
                  <c:v>720</c:v>
                </c:pt>
              </c:numCache>
            </c:numRef>
          </c:xVal>
          <c:yVal>
            <c:numRef>
              <c:f>('Aqueous Samples'!$BB$12:$BB$19,'Aqueous Samples'!$BB$21:$BB$26,'Aqueous Samples'!$BB$28:$BB$30,'Aqueous Samples'!$BB$32:$BB$33,'Aqueous Samples'!$BB$35:$BB$36)</c:f>
              <c:numCache>
                <c:formatCode>General</c:formatCode>
                <c:ptCount val="21"/>
                <c:pt idx="0">
                  <c:v>0</c:v>
                </c:pt>
                <c:pt idx="1">
                  <c:v>1.4028361115003879E-3</c:v>
                </c:pt>
                <c:pt idx="2">
                  <c:v>9.1236191475796868E-2</c:v>
                </c:pt>
                <c:pt idx="3">
                  <c:v>0.3790769591265602</c:v>
                </c:pt>
                <c:pt idx="4">
                  <c:v>0.56624000197487834</c:v>
                </c:pt>
                <c:pt idx="5">
                  <c:v>0.6734945505977572</c:v>
                </c:pt>
                <c:pt idx="6">
                  <c:v>0.74623344132286773</c:v>
                </c:pt>
                <c:pt idx="7">
                  <c:v>0.79120731944309786</c:v>
                </c:pt>
                <c:pt idx="8">
                  <c:v>0.83313794293604115</c:v>
                </c:pt>
                <c:pt idx="9">
                  <c:v>0.82462702731524629</c:v>
                </c:pt>
                <c:pt idx="10">
                  <c:v>0.92057479107207252</c:v>
                </c:pt>
                <c:pt idx="11">
                  <c:v>0.89413992338682757</c:v>
                </c:pt>
                <c:pt idx="12">
                  <c:v>0.90677887824822334</c:v>
                </c:pt>
                <c:pt idx="13">
                  <c:v>0.92861667683598137</c:v>
                </c:pt>
                <c:pt idx="14">
                  <c:v>0.93704371440494272</c:v>
                </c:pt>
                <c:pt idx="15">
                  <c:v>0.92514393834661479</c:v>
                </c:pt>
                <c:pt idx="16">
                  <c:v>0.96614378391913591</c:v>
                </c:pt>
                <c:pt idx="17">
                  <c:v>0.95402410526553605</c:v>
                </c:pt>
                <c:pt idx="18">
                  <c:v>0.9695444688921232</c:v>
                </c:pt>
                <c:pt idx="19">
                  <c:v>0.97605456872818508</c:v>
                </c:pt>
                <c:pt idx="20">
                  <c:v>1.0305717796898572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84-479B-B4F9-01F86D5B2418}"/>
            </c:ext>
          </c:extLst>
        </c:ser>
        <c:ser>
          <c:idx val="5"/>
          <c:order val="5"/>
          <c:tx>
            <c:v>Methane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('Aqueous Samples'!$D$12:$D$19,'Aqueous Samples'!$D$21:$D$26,'Aqueous Samples'!$D$28:$D$30,'Aqueous Samples'!$D$32:$D$33,'Aqueous Samples'!$D$35:$D$36)</c:f>
              <c:numCache>
                <c:formatCode>0</c:formatCode>
                <c:ptCount val="21"/>
                <c:pt idx="0">
                  <c:v>0</c:v>
                </c:pt>
                <c:pt idx="1">
                  <c:v>19.999999999999929</c:v>
                </c:pt>
                <c:pt idx="2">
                  <c:v>40.999999999999936</c:v>
                </c:pt>
                <c:pt idx="3">
                  <c:v>60.999999999999943</c:v>
                </c:pt>
                <c:pt idx="4">
                  <c:v>79.999999999999957</c:v>
                </c:pt>
                <c:pt idx="5">
                  <c:v>99.999999999999972</c:v>
                </c:pt>
                <c:pt idx="6">
                  <c:v>119.99999999999997</c:v>
                </c:pt>
                <c:pt idx="7">
                  <c:v>139.99999999999991</c:v>
                </c:pt>
                <c:pt idx="8">
                  <c:v>161</c:v>
                </c:pt>
                <c:pt idx="9">
                  <c:v>180.99999999999991</c:v>
                </c:pt>
                <c:pt idx="10">
                  <c:v>201</c:v>
                </c:pt>
                <c:pt idx="11">
                  <c:v>217.99999999999994</c:v>
                </c:pt>
                <c:pt idx="12">
                  <c:v>248</c:v>
                </c:pt>
                <c:pt idx="13">
                  <c:v>278.00000000000006</c:v>
                </c:pt>
                <c:pt idx="14">
                  <c:v>317.99999999999989</c:v>
                </c:pt>
                <c:pt idx="15">
                  <c:v>368.00000000000006</c:v>
                </c:pt>
                <c:pt idx="16">
                  <c:v>413.00000000000006</c:v>
                </c:pt>
                <c:pt idx="17">
                  <c:v>473</c:v>
                </c:pt>
                <c:pt idx="18">
                  <c:v>543.00000000000011</c:v>
                </c:pt>
                <c:pt idx="19">
                  <c:v>617</c:v>
                </c:pt>
                <c:pt idx="20">
                  <c:v>720</c:v>
                </c:pt>
              </c:numCache>
            </c:numRef>
          </c:xVal>
          <c:yVal>
            <c:numRef>
              <c:f>('Aqueous Samples'!$BD$12:$BD$19,'Aqueous Samples'!$BD$21:$BD$26,'Aqueous Samples'!$BD$28:$BD$30,'Aqueous Samples'!$BD$32:$BD$33,'Aqueous Samples'!$BD$35:$BD$36)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4.6612819689473069E-2</c:v>
                </c:pt>
                <c:pt idx="3">
                  <c:v>0.24296047741674737</c:v>
                </c:pt>
                <c:pt idx="4">
                  <c:v>0.38867011015559588</c:v>
                </c:pt>
                <c:pt idx="5">
                  <c:v>0.50081503289465912</c:v>
                </c:pt>
                <c:pt idx="6">
                  <c:v>0.57272756312874429</c:v>
                </c:pt>
                <c:pt idx="7">
                  <c:v>0.61046093905812415</c:v>
                </c:pt>
                <c:pt idx="8">
                  <c:v>0.64508337945155025</c:v>
                </c:pt>
                <c:pt idx="9">
                  <c:v>0.64379516207860321</c:v>
                </c:pt>
                <c:pt idx="10">
                  <c:v>0.70130744017392166</c:v>
                </c:pt>
                <c:pt idx="11">
                  <c:v>0.69571941730773834</c:v>
                </c:pt>
                <c:pt idx="12">
                  <c:v>0.72194761175324618</c:v>
                </c:pt>
                <c:pt idx="13">
                  <c:v>0.75261735653414019</c:v>
                </c:pt>
                <c:pt idx="14">
                  <c:v>0.80696213090665381</c:v>
                </c:pt>
                <c:pt idx="15">
                  <c:v>0.82738256237957875</c:v>
                </c:pt>
                <c:pt idx="16">
                  <c:v>0.85425988464841496</c:v>
                </c:pt>
                <c:pt idx="17">
                  <c:v>0.84422762109346627</c:v>
                </c:pt>
                <c:pt idx="18">
                  <c:v>0.87504281124181404</c:v>
                </c:pt>
                <c:pt idx="19">
                  <c:v>0.89241710226601367</c:v>
                </c:pt>
                <c:pt idx="20">
                  <c:v>0.96950675034697587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84-479B-B4F9-01F86D5B2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742504"/>
        <c:axId val="608744472"/>
        <c:extLst/>
      </c:scatterChart>
      <c:valAx>
        <c:axId val="608742504"/>
        <c:scaling>
          <c:orientation val="minMax"/>
          <c:max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744472"/>
        <c:crosses val="autoZero"/>
        <c:crossBetween val="midCat"/>
      </c:valAx>
      <c:valAx>
        <c:axId val="60874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742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N2O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('Aqueous Samples'!$D$12:$D$19,'Aqueous Samples'!$D$21:$D$26,'Aqueous Samples'!$D$29:$D$30,'Aqueous Samples'!$D$32:$D$33,'Aqueous Samples'!$D$35:$D$36)</c:f>
              <c:numCache>
                <c:formatCode>0</c:formatCode>
                <c:ptCount val="20"/>
                <c:pt idx="0">
                  <c:v>0</c:v>
                </c:pt>
                <c:pt idx="1">
                  <c:v>19.999999999999929</c:v>
                </c:pt>
                <c:pt idx="2">
                  <c:v>40.999999999999936</c:v>
                </c:pt>
                <c:pt idx="3">
                  <c:v>60.999999999999943</c:v>
                </c:pt>
                <c:pt idx="4">
                  <c:v>79.999999999999957</c:v>
                </c:pt>
                <c:pt idx="5">
                  <c:v>99.999999999999972</c:v>
                </c:pt>
                <c:pt idx="6">
                  <c:v>119.99999999999997</c:v>
                </c:pt>
                <c:pt idx="7">
                  <c:v>139.99999999999991</c:v>
                </c:pt>
                <c:pt idx="8">
                  <c:v>161</c:v>
                </c:pt>
                <c:pt idx="9">
                  <c:v>180.99999999999991</c:v>
                </c:pt>
                <c:pt idx="10">
                  <c:v>201</c:v>
                </c:pt>
                <c:pt idx="11">
                  <c:v>217.99999999999994</c:v>
                </c:pt>
                <c:pt idx="12">
                  <c:v>248</c:v>
                </c:pt>
                <c:pt idx="13">
                  <c:v>278.00000000000006</c:v>
                </c:pt>
                <c:pt idx="14">
                  <c:v>368.00000000000006</c:v>
                </c:pt>
                <c:pt idx="15">
                  <c:v>413.00000000000006</c:v>
                </c:pt>
                <c:pt idx="16">
                  <c:v>473</c:v>
                </c:pt>
                <c:pt idx="17">
                  <c:v>543.00000000000011</c:v>
                </c:pt>
                <c:pt idx="18">
                  <c:v>617</c:v>
                </c:pt>
                <c:pt idx="19">
                  <c:v>720</c:v>
                </c:pt>
              </c:numCache>
            </c:numRef>
          </c:xVal>
          <c:yVal>
            <c:numRef>
              <c:f>('Aqueous Samples'!$BB$12:$BB$19,'Aqueous Samples'!$BB$21:$BB$26,'Aqueous Samples'!$BB$29:$BB$30,'Aqueous Samples'!$BB$32:$BB$33,'Aqueous Samples'!$BB$35:$BB$36)</c:f>
              <c:numCache>
                <c:formatCode>General</c:formatCode>
                <c:ptCount val="20"/>
                <c:pt idx="0">
                  <c:v>0</c:v>
                </c:pt>
                <c:pt idx="1">
                  <c:v>1.4028361115003879E-3</c:v>
                </c:pt>
                <c:pt idx="2">
                  <c:v>9.1236191475796868E-2</c:v>
                </c:pt>
                <c:pt idx="3">
                  <c:v>0.3790769591265602</c:v>
                </c:pt>
                <c:pt idx="4">
                  <c:v>0.56624000197487834</c:v>
                </c:pt>
                <c:pt idx="5">
                  <c:v>0.6734945505977572</c:v>
                </c:pt>
                <c:pt idx="6">
                  <c:v>0.74623344132286773</c:v>
                </c:pt>
                <c:pt idx="7">
                  <c:v>0.79120731944309786</c:v>
                </c:pt>
                <c:pt idx="8">
                  <c:v>0.83313794293604115</c:v>
                </c:pt>
                <c:pt idx="9">
                  <c:v>0.82462702731524629</c:v>
                </c:pt>
                <c:pt idx="10">
                  <c:v>0.92057479107207252</c:v>
                </c:pt>
                <c:pt idx="11">
                  <c:v>0.89413992338682757</c:v>
                </c:pt>
                <c:pt idx="12">
                  <c:v>0.90677887824822334</c:v>
                </c:pt>
                <c:pt idx="13">
                  <c:v>0.92861667683598137</c:v>
                </c:pt>
                <c:pt idx="14">
                  <c:v>0.92514393834661479</c:v>
                </c:pt>
                <c:pt idx="15">
                  <c:v>0.96614378391913591</c:v>
                </c:pt>
                <c:pt idx="16">
                  <c:v>0.95402410526553605</c:v>
                </c:pt>
                <c:pt idx="17">
                  <c:v>0.9695444688921232</c:v>
                </c:pt>
                <c:pt idx="18">
                  <c:v>0.97605456872818508</c:v>
                </c:pt>
                <c:pt idx="19">
                  <c:v>1.0305717796898572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C497-45E0-B172-6B97409D6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926264"/>
        <c:axId val="788927904"/>
      </c:scatterChart>
      <c:valAx>
        <c:axId val="788926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927904"/>
        <c:crosses val="autoZero"/>
        <c:crossBetween val="midCat"/>
      </c:valAx>
      <c:valAx>
        <c:axId val="78892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926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('Aqueous Samples'!$D$12:$D$19,'Aqueous Samples'!$D$21:$D$26,'Aqueous Samples'!$D$29:$D$30,'Aqueous Samples'!$D$32:$D$33,'Aqueous Samples'!$D$35:$D$36)</c:f>
              <c:numCache>
                <c:formatCode>0</c:formatCode>
                <c:ptCount val="20"/>
                <c:pt idx="0">
                  <c:v>0</c:v>
                </c:pt>
                <c:pt idx="1">
                  <c:v>19.999999999999929</c:v>
                </c:pt>
                <c:pt idx="2">
                  <c:v>40.999999999999936</c:v>
                </c:pt>
                <c:pt idx="3">
                  <c:v>60.999999999999943</c:v>
                </c:pt>
                <c:pt idx="4">
                  <c:v>79.999999999999957</c:v>
                </c:pt>
                <c:pt idx="5">
                  <c:v>99.999999999999972</c:v>
                </c:pt>
                <c:pt idx="6">
                  <c:v>119.99999999999997</c:v>
                </c:pt>
                <c:pt idx="7">
                  <c:v>139.99999999999991</c:v>
                </c:pt>
                <c:pt idx="8">
                  <c:v>161</c:v>
                </c:pt>
                <c:pt idx="9">
                  <c:v>180.99999999999991</c:v>
                </c:pt>
                <c:pt idx="10">
                  <c:v>201</c:v>
                </c:pt>
                <c:pt idx="11">
                  <c:v>217.99999999999994</c:v>
                </c:pt>
                <c:pt idx="12">
                  <c:v>248</c:v>
                </c:pt>
                <c:pt idx="13">
                  <c:v>278.00000000000006</c:v>
                </c:pt>
                <c:pt idx="14">
                  <c:v>368.00000000000006</c:v>
                </c:pt>
                <c:pt idx="15">
                  <c:v>413.00000000000006</c:v>
                </c:pt>
                <c:pt idx="16">
                  <c:v>473</c:v>
                </c:pt>
                <c:pt idx="17">
                  <c:v>543.00000000000011</c:v>
                </c:pt>
                <c:pt idx="18">
                  <c:v>617</c:v>
                </c:pt>
                <c:pt idx="19">
                  <c:v>720</c:v>
                </c:pt>
              </c:numCache>
            </c:numRef>
          </c:xVal>
          <c:yVal>
            <c:numRef>
              <c:f>('Aqueous Samples'!$BD$12:$BD$19,'Aqueous Samples'!$BD$21:$BD$26,'Aqueous Samples'!$BD$28:$BD$29,'Aqueous Samples'!$BD$30,'Aqueous Samples'!$BD$32:$BD$33,'Aqueous Samples'!$BD$35:$BD$36)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4.6612819689473069E-2</c:v>
                </c:pt>
                <c:pt idx="3">
                  <c:v>0.24296047741674737</c:v>
                </c:pt>
                <c:pt idx="4">
                  <c:v>0.38867011015559588</c:v>
                </c:pt>
                <c:pt idx="5">
                  <c:v>0.50081503289465912</c:v>
                </c:pt>
                <c:pt idx="6">
                  <c:v>0.57272756312874429</c:v>
                </c:pt>
                <c:pt idx="7">
                  <c:v>0.61046093905812415</c:v>
                </c:pt>
                <c:pt idx="8">
                  <c:v>0.64508337945155025</c:v>
                </c:pt>
                <c:pt idx="9">
                  <c:v>0.64379516207860321</c:v>
                </c:pt>
                <c:pt idx="10">
                  <c:v>0.70130744017392166</c:v>
                </c:pt>
                <c:pt idx="11">
                  <c:v>0.69571941730773834</c:v>
                </c:pt>
                <c:pt idx="12">
                  <c:v>0.72194761175324618</c:v>
                </c:pt>
                <c:pt idx="13">
                  <c:v>0.75261735653414019</c:v>
                </c:pt>
                <c:pt idx="14">
                  <c:v>0.80696213090665381</c:v>
                </c:pt>
                <c:pt idx="15">
                  <c:v>0.82738256237957875</c:v>
                </c:pt>
                <c:pt idx="16">
                  <c:v>0.85425988464841496</c:v>
                </c:pt>
                <c:pt idx="17">
                  <c:v>0.84422762109346627</c:v>
                </c:pt>
                <c:pt idx="18">
                  <c:v>0.87504281124181404</c:v>
                </c:pt>
                <c:pt idx="19">
                  <c:v>0.89241710226601367</c:v>
                </c:pt>
                <c:pt idx="20">
                  <c:v>0.96950675034697587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3D-4AFF-A4DA-CDF3CCE54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653816"/>
        <c:axId val="792656440"/>
      </c:scatterChart>
      <c:valAx>
        <c:axId val="792653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656440"/>
        <c:crosses val="autoZero"/>
        <c:crossBetween val="midCat"/>
      </c:valAx>
      <c:valAx>
        <c:axId val="79265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653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61</xdr:col>
      <xdr:colOff>404812</xdr:colOff>
      <xdr:row>4</xdr:row>
      <xdr:rowOff>95249</xdr:rowOff>
    </xdr:from>
    <xdr:to>
      <xdr:col>75</xdr:col>
      <xdr:colOff>114300</xdr:colOff>
      <xdr:row>31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C18A91-262D-492B-8CBC-509B8DF6A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62</xdr:col>
      <xdr:colOff>114300</xdr:colOff>
      <xdr:row>33</xdr:row>
      <xdr:rowOff>147637</xdr:rowOff>
    </xdr:from>
    <xdr:to>
      <xdr:col>69</xdr:col>
      <xdr:colOff>419100</xdr:colOff>
      <xdr:row>48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06C956-C0A5-4A77-9153-E320BA3999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70</xdr:col>
      <xdr:colOff>171450</xdr:colOff>
      <xdr:row>33</xdr:row>
      <xdr:rowOff>128587</xdr:rowOff>
    </xdr:from>
    <xdr:to>
      <xdr:col>77</xdr:col>
      <xdr:colOff>476250</xdr:colOff>
      <xdr:row>48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DF8246-A628-4162-ACAB-8A018D339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36"/>
  <sheetViews>
    <sheetView workbookViewId="0">
      <selection activeCell="G5" sqref="G5:G36"/>
    </sheetView>
  </sheetViews>
  <sheetFormatPr defaultRowHeight="15" x14ac:dyDescent="0.25"/>
  <cols>
    <col min="2" max="6" width="17" customWidth="1"/>
  </cols>
  <sheetData>
    <row r="2" spans="2:7" x14ac:dyDescent="0.25">
      <c r="B2" t="s">
        <v>35</v>
      </c>
      <c r="F2" s="2">
        <v>0.47916666666666669</v>
      </c>
    </row>
    <row r="4" spans="2:7" x14ac:dyDescent="0.25">
      <c r="B4" t="s">
        <v>33</v>
      </c>
      <c r="C4" t="s">
        <v>39</v>
      </c>
      <c r="D4" t="s">
        <v>71</v>
      </c>
      <c r="E4" t="s">
        <v>70</v>
      </c>
      <c r="F4" t="s">
        <v>69</v>
      </c>
      <c r="G4" t="s">
        <v>34</v>
      </c>
    </row>
    <row r="5" spans="2:7" x14ac:dyDescent="0.25">
      <c r="B5" t="s">
        <v>0</v>
      </c>
      <c r="C5" t="s">
        <v>40</v>
      </c>
      <c r="F5" s="2">
        <v>0.39166666666666666</v>
      </c>
      <c r="G5" s="1">
        <v>225064</v>
      </c>
    </row>
    <row r="6" spans="2:7" x14ac:dyDescent="0.25">
      <c r="B6" t="s">
        <v>2</v>
      </c>
      <c r="C6" t="s">
        <v>41</v>
      </c>
      <c r="F6" s="2">
        <v>0.39444444444444443</v>
      </c>
      <c r="G6" s="1">
        <v>260912</v>
      </c>
    </row>
    <row r="7" spans="2:7" x14ac:dyDescent="0.25">
      <c r="B7" t="s">
        <v>3</v>
      </c>
      <c r="C7" t="s">
        <v>42</v>
      </c>
      <c r="F7" s="2">
        <v>0.3979166666666667</v>
      </c>
      <c r="G7" s="1">
        <v>286666</v>
      </c>
    </row>
    <row r="8" spans="2:7" x14ac:dyDescent="0.25">
      <c r="B8" t="s">
        <v>4</v>
      </c>
      <c r="C8" t="s">
        <v>43</v>
      </c>
      <c r="F8" s="2">
        <v>0.39930555555555558</v>
      </c>
      <c r="G8" s="1">
        <v>272180</v>
      </c>
    </row>
    <row r="9" spans="2:7" x14ac:dyDescent="0.25">
      <c r="B9" t="s">
        <v>5</v>
      </c>
      <c r="C9" t="s">
        <v>44</v>
      </c>
      <c r="F9" s="2">
        <v>0.40138888888888885</v>
      </c>
      <c r="G9" s="1">
        <v>273945</v>
      </c>
    </row>
    <row r="10" spans="2:7" x14ac:dyDescent="0.25">
      <c r="B10" t="s">
        <v>6</v>
      </c>
      <c r="C10" t="s">
        <v>48</v>
      </c>
      <c r="F10" s="2">
        <v>0.4145833333333333</v>
      </c>
      <c r="G10" t="s">
        <v>1</v>
      </c>
    </row>
    <row r="11" spans="2:7" x14ac:dyDescent="0.25">
      <c r="B11" t="s">
        <v>7</v>
      </c>
      <c r="C11" t="s">
        <v>49</v>
      </c>
      <c r="F11" s="2">
        <v>0.41597222222222219</v>
      </c>
      <c r="G11" t="s">
        <v>1</v>
      </c>
    </row>
    <row r="12" spans="2:7" x14ac:dyDescent="0.25">
      <c r="B12" t="s">
        <v>8</v>
      </c>
      <c r="C12" t="s">
        <v>50</v>
      </c>
      <c r="F12" s="2">
        <v>0.41805555555555557</v>
      </c>
      <c r="G12" t="s">
        <v>1</v>
      </c>
    </row>
    <row r="13" spans="2:7" x14ac:dyDescent="0.25">
      <c r="B13" t="s">
        <v>9</v>
      </c>
      <c r="C13" t="s">
        <v>51</v>
      </c>
      <c r="F13" s="2">
        <v>0.43958333333333338</v>
      </c>
      <c r="G13" t="s">
        <v>1</v>
      </c>
    </row>
    <row r="14" spans="2:7" x14ac:dyDescent="0.25">
      <c r="B14" t="s">
        <v>10</v>
      </c>
      <c r="C14" t="s">
        <v>52</v>
      </c>
      <c r="F14" s="2">
        <v>0.44097222222222227</v>
      </c>
      <c r="G14" t="s">
        <v>1</v>
      </c>
    </row>
    <row r="15" spans="2:7" x14ac:dyDescent="0.25">
      <c r="B15" s="3" t="s">
        <v>11</v>
      </c>
      <c r="C15" t="s">
        <v>53</v>
      </c>
      <c r="F15" s="2">
        <v>0.46111111111111108</v>
      </c>
      <c r="G15" t="s">
        <v>1</v>
      </c>
    </row>
    <row r="16" spans="2:7" x14ac:dyDescent="0.25">
      <c r="B16" t="s">
        <v>12</v>
      </c>
      <c r="C16" t="s">
        <v>54</v>
      </c>
      <c r="D16">
        <f>24</f>
        <v>24</v>
      </c>
      <c r="E16" s="2">
        <f t="shared" ref="E16:E33" si="0">F16-$F$2</f>
        <v>1.6666666666666663E-2</v>
      </c>
      <c r="F16" s="2">
        <v>0.49583333333333335</v>
      </c>
      <c r="G16" t="s">
        <v>1</v>
      </c>
    </row>
    <row r="17" spans="2:7" x14ac:dyDescent="0.25">
      <c r="B17" t="s">
        <v>13</v>
      </c>
      <c r="C17" t="s">
        <v>55</v>
      </c>
      <c r="D17">
        <f>50</f>
        <v>50</v>
      </c>
      <c r="E17" s="2">
        <f t="shared" si="0"/>
        <v>3.4722222222222265E-2</v>
      </c>
      <c r="F17" s="2">
        <v>0.51388888888888895</v>
      </c>
      <c r="G17" t="s">
        <v>1</v>
      </c>
    </row>
    <row r="18" spans="2:7" x14ac:dyDescent="0.25">
      <c r="B18" t="s">
        <v>14</v>
      </c>
      <c r="C18" t="s">
        <v>56</v>
      </c>
      <c r="D18">
        <f>60*1+14</f>
        <v>74</v>
      </c>
      <c r="E18" s="2">
        <f t="shared" si="0"/>
        <v>5.1388888888888873E-2</v>
      </c>
      <c r="F18" s="2">
        <v>0.53055555555555556</v>
      </c>
      <c r="G18" t="s">
        <v>1</v>
      </c>
    </row>
    <row r="19" spans="2:7" x14ac:dyDescent="0.25">
      <c r="B19" t="s">
        <v>15</v>
      </c>
      <c r="C19" t="s">
        <v>57</v>
      </c>
      <c r="D19">
        <f>1*60+34</f>
        <v>94</v>
      </c>
      <c r="E19" s="2">
        <f t="shared" si="0"/>
        <v>6.5277777777777712E-2</v>
      </c>
      <c r="F19" s="2">
        <v>0.5444444444444444</v>
      </c>
      <c r="G19" t="s">
        <v>1</v>
      </c>
    </row>
    <row r="20" spans="2:7" x14ac:dyDescent="0.25">
      <c r="B20" t="s">
        <v>16</v>
      </c>
      <c r="C20" t="s">
        <v>58</v>
      </c>
      <c r="D20">
        <f>1*60+36</f>
        <v>96</v>
      </c>
      <c r="E20" s="2">
        <f t="shared" si="0"/>
        <v>6.6666666666666596E-2</v>
      </c>
      <c r="F20" s="2">
        <v>0.54583333333333328</v>
      </c>
      <c r="G20" t="s">
        <v>1</v>
      </c>
    </row>
    <row r="21" spans="2:7" x14ac:dyDescent="0.25">
      <c r="B21" t="s">
        <v>17</v>
      </c>
      <c r="C21" t="s">
        <v>59</v>
      </c>
      <c r="D21">
        <f>2*60+1</f>
        <v>121</v>
      </c>
      <c r="E21" s="2">
        <f t="shared" si="0"/>
        <v>8.4027777777777757E-2</v>
      </c>
      <c r="F21" s="2">
        <v>0.56319444444444444</v>
      </c>
      <c r="G21" t="s">
        <v>1</v>
      </c>
    </row>
    <row r="22" spans="2:7" x14ac:dyDescent="0.25">
      <c r="B22" t="s">
        <v>18</v>
      </c>
      <c r="C22" t="s">
        <v>58</v>
      </c>
      <c r="D22">
        <f>60*2+3</f>
        <v>123</v>
      </c>
      <c r="E22" s="2">
        <f t="shared" si="0"/>
        <v>8.5416666666666641E-2</v>
      </c>
      <c r="F22" s="2">
        <v>0.56458333333333333</v>
      </c>
      <c r="G22" t="s">
        <v>1</v>
      </c>
    </row>
    <row r="23" spans="2:7" x14ac:dyDescent="0.25">
      <c r="B23" t="s">
        <v>19</v>
      </c>
      <c r="C23" t="s">
        <v>60</v>
      </c>
      <c r="D23">
        <f>2*60+28</f>
        <v>148</v>
      </c>
      <c r="E23" s="2">
        <f t="shared" si="0"/>
        <v>0.1027777777777778</v>
      </c>
      <c r="F23" s="2">
        <v>0.58194444444444449</v>
      </c>
      <c r="G23" t="s">
        <v>1</v>
      </c>
    </row>
    <row r="24" spans="2:7" x14ac:dyDescent="0.25">
      <c r="B24" t="s">
        <v>20</v>
      </c>
      <c r="C24" t="s">
        <v>61</v>
      </c>
      <c r="D24">
        <f>2*60+51</f>
        <v>171</v>
      </c>
      <c r="E24" s="2">
        <f t="shared" si="0"/>
        <v>0.11874999999999997</v>
      </c>
      <c r="F24" s="2">
        <v>0.59791666666666665</v>
      </c>
      <c r="G24" t="s">
        <v>1</v>
      </c>
    </row>
    <row r="25" spans="2:7" x14ac:dyDescent="0.25">
      <c r="B25" t="s">
        <v>21</v>
      </c>
      <c r="C25" t="s">
        <v>48</v>
      </c>
      <c r="D25">
        <f>2*60+53</f>
        <v>173</v>
      </c>
      <c r="E25" s="2">
        <f t="shared" si="0"/>
        <v>0.12013888888888885</v>
      </c>
      <c r="F25" s="2">
        <v>0.59930555555555554</v>
      </c>
      <c r="G25" s="1">
        <v>26791</v>
      </c>
    </row>
    <row r="26" spans="2:7" x14ac:dyDescent="0.25">
      <c r="B26" t="s">
        <v>22</v>
      </c>
      <c r="C26" t="s">
        <v>62</v>
      </c>
      <c r="D26">
        <f>3*60+12</f>
        <v>192</v>
      </c>
      <c r="E26" s="2">
        <f t="shared" si="0"/>
        <v>0.13333333333333325</v>
      </c>
      <c r="F26" s="2">
        <v>0.61249999999999993</v>
      </c>
      <c r="G26" t="s">
        <v>1</v>
      </c>
    </row>
    <row r="27" spans="2:7" x14ac:dyDescent="0.25">
      <c r="B27" t="s">
        <v>23</v>
      </c>
      <c r="C27" t="s">
        <v>48</v>
      </c>
      <c r="D27">
        <f>3*60+14</f>
        <v>194</v>
      </c>
      <c r="E27" s="2">
        <f t="shared" si="0"/>
        <v>0.13472222222222213</v>
      </c>
      <c r="F27" s="2">
        <v>0.61388888888888882</v>
      </c>
      <c r="G27" s="1">
        <v>31780</v>
      </c>
    </row>
    <row r="28" spans="2:7" x14ac:dyDescent="0.25">
      <c r="B28" t="s">
        <v>24</v>
      </c>
      <c r="C28" t="s">
        <v>63</v>
      </c>
      <c r="D28">
        <f>3*60+53</f>
        <v>233</v>
      </c>
      <c r="E28" s="2">
        <f t="shared" si="0"/>
        <v>0.16180555555555548</v>
      </c>
      <c r="F28" s="2">
        <v>0.64097222222222217</v>
      </c>
      <c r="G28" s="1">
        <v>24758</v>
      </c>
    </row>
    <row r="29" spans="2:7" x14ac:dyDescent="0.25">
      <c r="B29" t="s">
        <v>25</v>
      </c>
      <c r="C29" t="s">
        <v>64</v>
      </c>
      <c r="D29">
        <f>4*60+36</f>
        <v>276</v>
      </c>
      <c r="E29" s="2">
        <f t="shared" si="0"/>
        <v>0.19166666666666671</v>
      </c>
      <c r="F29" s="2">
        <v>0.67083333333333339</v>
      </c>
      <c r="G29" s="1">
        <v>44280</v>
      </c>
    </row>
    <row r="30" spans="2:7" x14ac:dyDescent="0.25">
      <c r="B30" t="s">
        <v>26</v>
      </c>
      <c r="C30" t="s">
        <v>65</v>
      </c>
      <c r="D30">
        <f>4*60+59</f>
        <v>299</v>
      </c>
      <c r="E30" s="2">
        <f t="shared" si="0"/>
        <v>0.20763888888888887</v>
      </c>
      <c r="F30" s="2">
        <v>0.68680555555555556</v>
      </c>
      <c r="G30" s="1">
        <v>49974</v>
      </c>
    </row>
    <row r="31" spans="2:7" x14ac:dyDescent="0.25">
      <c r="B31" t="s">
        <v>27</v>
      </c>
      <c r="C31" t="s">
        <v>66</v>
      </c>
      <c r="D31">
        <f>5*60+26</f>
        <v>326</v>
      </c>
      <c r="E31" s="2">
        <f t="shared" si="0"/>
        <v>0.22638888888888892</v>
      </c>
      <c r="F31" s="2">
        <v>0.7055555555555556</v>
      </c>
      <c r="G31" s="1">
        <v>60893</v>
      </c>
    </row>
    <row r="32" spans="2:7" x14ac:dyDescent="0.25">
      <c r="B32" t="s">
        <v>28</v>
      </c>
      <c r="C32" t="s">
        <v>67</v>
      </c>
      <c r="D32">
        <f>6*60+23</f>
        <v>383</v>
      </c>
      <c r="E32" s="2">
        <f t="shared" si="0"/>
        <v>0.26597222222222222</v>
      </c>
      <c r="F32" s="2">
        <v>0.74513888888888891</v>
      </c>
      <c r="G32" t="s">
        <v>1</v>
      </c>
    </row>
    <row r="33" spans="2:7" x14ac:dyDescent="0.25">
      <c r="B33" t="s">
        <v>29</v>
      </c>
      <c r="C33" t="s">
        <v>68</v>
      </c>
      <c r="D33">
        <f>8*60+7</f>
        <v>487</v>
      </c>
      <c r="E33" s="2">
        <f t="shared" si="0"/>
        <v>0.33819444444444441</v>
      </c>
      <c r="F33" s="2">
        <v>0.81736111111111109</v>
      </c>
      <c r="G33" s="1">
        <v>111941</v>
      </c>
    </row>
    <row r="34" spans="2:7" x14ac:dyDescent="0.25">
      <c r="B34" t="s">
        <v>30</v>
      </c>
      <c r="C34" t="s">
        <v>45</v>
      </c>
      <c r="E34" s="2"/>
      <c r="G34" s="1">
        <v>205177</v>
      </c>
    </row>
    <row r="35" spans="2:7" x14ac:dyDescent="0.25">
      <c r="B35" t="s">
        <v>31</v>
      </c>
      <c r="C35" t="s">
        <v>46</v>
      </c>
      <c r="E35" s="2"/>
      <c r="G35" s="1">
        <v>220369</v>
      </c>
    </row>
    <row r="36" spans="2:7" x14ac:dyDescent="0.25">
      <c r="B36" t="s">
        <v>32</v>
      </c>
      <c r="C36" t="s">
        <v>47</v>
      </c>
      <c r="E36" s="2"/>
      <c r="G36" s="1">
        <v>253342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G38"/>
  <sheetViews>
    <sheetView workbookViewId="0">
      <selection activeCell="G6" sqref="G6:G36"/>
    </sheetView>
  </sheetViews>
  <sheetFormatPr defaultRowHeight="15" x14ac:dyDescent="0.25"/>
  <cols>
    <col min="2" max="2" width="15.7109375" customWidth="1"/>
    <col min="3" max="3" width="15.28515625" customWidth="1"/>
    <col min="4" max="4" width="17" customWidth="1"/>
    <col min="5" max="5" width="14.140625" customWidth="1"/>
    <col min="6" max="6" width="13.7109375" customWidth="1"/>
    <col min="7" max="7" width="12" customWidth="1"/>
  </cols>
  <sheetData>
    <row r="3" spans="2:7" x14ac:dyDescent="0.25">
      <c r="B3" t="s">
        <v>38</v>
      </c>
      <c r="F3" s="2">
        <v>0.47916666666666669</v>
      </c>
    </row>
    <row r="5" spans="2:7" x14ac:dyDescent="0.25">
      <c r="B5" t="s">
        <v>33</v>
      </c>
      <c r="C5" t="s">
        <v>39</v>
      </c>
      <c r="D5" t="s">
        <v>71</v>
      </c>
      <c r="E5" t="s">
        <v>70</v>
      </c>
      <c r="F5" t="s">
        <v>69</v>
      </c>
      <c r="G5" t="s">
        <v>34</v>
      </c>
    </row>
    <row r="6" spans="2:7" x14ac:dyDescent="0.25">
      <c r="B6" t="s">
        <v>0</v>
      </c>
      <c r="C6" t="s">
        <v>40</v>
      </c>
      <c r="F6" s="2">
        <v>0.39166666666666666</v>
      </c>
      <c r="G6" s="1">
        <v>38743</v>
      </c>
    </row>
    <row r="7" spans="2:7" x14ac:dyDescent="0.25">
      <c r="B7" t="s">
        <v>2</v>
      </c>
      <c r="C7" t="s">
        <v>41</v>
      </c>
      <c r="F7" s="2">
        <v>0.39444444444444443</v>
      </c>
      <c r="G7" s="1">
        <v>41768</v>
      </c>
    </row>
    <row r="8" spans="2:7" x14ac:dyDescent="0.25">
      <c r="B8" t="s">
        <v>3</v>
      </c>
      <c r="C8" t="s">
        <v>42</v>
      </c>
      <c r="F8" s="2">
        <v>0.3979166666666667</v>
      </c>
      <c r="G8" s="1">
        <v>45362</v>
      </c>
    </row>
    <row r="9" spans="2:7" x14ac:dyDescent="0.25">
      <c r="B9" t="s">
        <v>4</v>
      </c>
      <c r="C9" t="s">
        <v>43</v>
      </c>
      <c r="F9" s="2">
        <v>0.39930555555555558</v>
      </c>
      <c r="G9" s="1">
        <v>43503</v>
      </c>
    </row>
    <row r="10" spans="2:7" x14ac:dyDescent="0.25">
      <c r="B10" t="s">
        <v>5</v>
      </c>
      <c r="C10" t="s">
        <v>44</v>
      </c>
      <c r="F10" s="2">
        <v>0.40138888888888885</v>
      </c>
      <c r="G10" s="1">
        <v>42796</v>
      </c>
    </row>
    <row r="11" spans="2:7" x14ac:dyDescent="0.25">
      <c r="B11" t="s">
        <v>6</v>
      </c>
      <c r="C11" t="s">
        <v>48</v>
      </c>
      <c r="F11" s="2">
        <v>0.4145833333333333</v>
      </c>
      <c r="G11" s="1">
        <v>2333</v>
      </c>
    </row>
    <row r="12" spans="2:7" x14ac:dyDescent="0.25">
      <c r="B12" t="s">
        <v>7</v>
      </c>
      <c r="C12" t="s">
        <v>49</v>
      </c>
      <c r="F12" s="2">
        <v>0.41597222222222219</v>
      </c>
      <c r="G12" s="1">
        <v>2202</v>
      </c>
    </row>
    <row r="13" spans="2:7" x14ac:dyDescent="0.25">
      <c r="B13" t="s">
        <v>8</v>
      </c>
      <c r="C13" t="s">
        <v>50</v>
      </c>
      <c r="F13" s="2">
        <v>0.41805555555555557</v>
      </c>
      <c r="G13" s="1">
        <v>2205</v>
      </c>
    </row>
    <row r="14" spans="2:7" x14ac:dyDescent="0.25">
      <c r="B14" t="s">
        <v>9</v>
      </c>
      <c r="C14" t="s">
        <v>51</v>
      </c>
      <c r="F14" s="2">
        <v>0.43958333333333338</v>
      </c>
      <c r="G14" s="1">
        <v>2139</v>
      </c>
    </row>
    <row r="15" spans="2:7" x14ac:dyDescent="0.25">
      <c r="B15" t="s">
        <v>10</v>
      </c>
      <c r="C15" t="s">
        <v>52</v>
      </c>
      <c r="F15" s="2">
        <v>0.44097222222222227</v>
      </c>
      <c r="G15" s="1">
        <v>2134</v>
      </c>
    </row>
    <row r="16" spans="2:7" x14ac:dyDescent="0.25">
      <c r="B16" t="s">
        <v>11</v>
      </c>
      <c r="C16" t="s">
        <v>53</v>
      </c>
      <c r="F16" s="2">
        <v>0.46111111111111108</v>
      </c>
      <c r="G16" s="1">
        <v>2177</v>
      </c>
    </row>
    <row r="17" spans="2:7" x14ac:dyDescent="0.25">
      <c r="B17" t="s">
        <v>12</v>
      </c>
      <c r="C17" t="s">
        <v>54</v>
      </c>
      <c r="D17">
        <f>24</f>
        <v>24</v>
      </c>
      <c r="E17" s="2">
        <f t="shared" ref="E17:E34" si="0">F17-$F$4</f>
        <v>0.49583333333333335</v>
      </c>
      <c r="F17" s="2">
        <v>0.49583333333333335</v>
      </c>
      <c r="G17" s="1">
        <v>2155</v>
      </c>
    </row>
    <row r="18" spans="2:7" x14ac:dyDescent="0.25">
      <c r="B18" t="s">
        <v>13</v>
      </c>
      <c r="C18" t="s">
        <v>55</v>
      </c>
      <c r="D18">
        <f>50</f>
        <v>50</v>
      </c>
      <c r="E18" s="2">
        <f t="shared" si="0"/>
        <v>0.51388888888888895</v>
      </c>
      <c r="F18" s="2">
        <v>0.51388888888888895</v>
      </c>
      <c r="G18" s="1">
        <v>2137</v>
      </c>
    </row>
    <row r="19" spans="2:7" x14ac:dyDescent="0.25">
      <c r="B19" t="s">
        <v>14</v>
      </c>
      <c r="C19" t="s">
        <v>56</v>
      </c>
      <c r="D19">
        <f>60*1+14</f>
        <v>74</v>
      </c>
      <c r="E19" s="2">
        <f t="shared" si="0"/>
        <v>0.53055555555555556</v>
      </c>
      <c r="F19" s="2">
        <v>0.53055555555555556</v>
      </c>
      <c r="G19" s="1">
        <v>2138</v>
      </c>
    </row>
    <row r="20" spans="2:7" x14ac:dyDescent="0.25">
      <c r="B20" t="s">
        <v>15</v>
      </c>
      <c r="C20" t="s">
        <v>57</v>
      </c>
      <c r="D20">
        <f>1*60+34</f>
        <v>94</v>
      </c>
      <c r="E20" s="2">
        <f t="shared" si="0"/>
        <v>0.5444444444444444</v>
      </c>
      <c r="F20" s="2">
        <v>0.5444444444444444</v>
      </c>
      <c r="G20" s="1">
        <v>2160</v>
      </c>
    </row>
    <row r="21" spans="2:7" x14ac:dyDescent="0.25">
      <c r="B21" t="s">
        <v>16</v>
      </c>
      <c r="C21" t="s">
        <v>58</v>
      </c>
      <c r="D21">
        <f>1*60+36</f>
        <v>96</v>
      </c>
      <c r="E21" s="2">
        <f t="shared" si="0"/>
        <v>0.54583333333333328</v>
      </c>
      <c r="F21" s="2">
        <v>0.54583333333333328</v>
      </c>
      <c r="G21" s="1">
        <v>1992</v>
      </c>
    </row>
    <row r="22" spans="2:7" x14ac:dyDescent="0.25">
      <c r="B22" t="s">
        <v>17</v>
      </c>
      <c r="C22" t="s">
        <v>59</v>
      </c>
      <c r="D22">
        <f>2*60+1</f>
        <v>121</v>
      </c>
      <c r="E22" s="2">
        <f t="shared" si="0"/>
        <v>0.56319444444444444</v>
      </c>
      <c r="F22" s="2">
        <v>0.56319444444444444</v>
      </c>
      <c r="G22" s="1">
        <v>2201</v>
      </c>
    </row>
    <row r="23" spans="2:7" x14ac:dyDescent="0.25">
      <c r="B23" t="s">
        <v>18</v>
      </c>
      <c r="C23" t="s">
        <v>58</v>
      </c>
      <c r="D23">
        <f>60*2+3</f>
        <v>123</v>
      </c>
      <c r="E23" s="2">
        <f t="shared" si="0"/>
        <v>0.56458333333333333</v>
      </c>
      <c r="F23" s="2">
        <v>0.56458333333333333</v>
      </c>
      <c r="G23" s="1">
        <v>2099</v>
      </c>
    </row>
    <row r="24" spans="2:7" x14ac:dyDescent="0.25">
      <c r="B24" t="s">
        <v>19</v>
      </c>
      <c r="C24" t="s">
        <v>60</v>
      </c>
      <c r="D24">
        <f>2*60+28</f>
        <v>148</v>
      </c>
      <c r="E24" s="2">
        <f t="shared" si="0"/>
        <v>0.58194444444444449</v>
      </c>
      <c r="F24" s="2">
        <v>0.58194444444444449</v>
      </c>
      <c r="G24" s="1">
        <v>2633</v>
      </c>
    </row>
    <row r="25" spans="2:7" x14ac:dyDescent="0.25">
      <c r="B25" t="s">
        <v>20</v>
      </c>
      <c r="C25" t="s">
        <v>61</v>
      </c>
      <c r="D25">
        <f>2*60+51</f>
        <v>171</v>
      </c>
      <c r="E25" s="2">
        <f t="shared" si="0"/>
        <v>0.59791666666666665</v>
      </c>
      <c r="F25" s="2">
        <v>0.59791666666666665</v>
      </c>
      <c r="G25" s="1">
        <v>3195</v>
      </c>
    </row>
    <row r="26" spans="2:7" x14ac:dyDescent="0.25">
      <c r="B26" t="s">
        <v>21</v>
      </c>
      <c r="C26" t="s">
        <v>48</v>
      </c>
      <c r="D26">
        <f>2*60+53</f>
        <v>173</v>
      </c>
      <c r="E26" s="2">
        <f t="shared" si="0"/>
        <v>0.59930555555555554</v>
      </c>
      <c r="F26" s="2">
        <v>0.59930555555555554</v>
      </c>
      <c r="G26" s="1">
        <v>4601</v>
      </c>
    </row>
    <row r="27" spans="2:7" x14ac:dyDescent="0.25">
      <c r="B27" t="s">
        <v>22</v>
      </c>
      <c r="C27" t="s">
        <v>62</v>
      </c>
      <c r="D27">
        <f>3*60+12</f>
        <v>192</v>
      </c>
      <c r="E27" s="2">
        <f t="shared" si="0"/>
        <v>0.61249999999999993</v>
      </c>
      <c r="F27" s="2">
        <v>0.61249999999999993</v>
      </c>
      <c r="G27" s="1">
        <v>3116</v>
      </c>
    </row>
    <row r="28" spans="2:7" x14ac:dyDescent="0.25">
      <c r="B28" t="s">
        <v>23</v>
      </c>
      <c r="C28" t="s">
        <v>48</v>
      </c>
      <c r="D28">
        <f>3*60+14</f>
        <v>194</v>
      </c>
      <c r="E28" s="2">
        <f t="shared" si="0"/>
        <v>0.61388888888888882</v>
      </c>
      <c r="F28" s="2">
        <v>0.61388888888888882</v>
      </c>
      <c r="G28" s="1">
        <v>5122</v>
      </c>
    </row>
    <row r="29" spans="2:7" x14ac:dyDescent="0.25">
      <c r="B29" t="s">
        <v>24</v>
      </c>
      <c r="C29" t="s">
        <v>63</v>
      </c>
      <c r="D29">
        <f>3*60+53</f>
        <v>233</v>
      </c>
      <c r="E29" s="2">
        <f t="shared" si="0"/>
        <v>0.64097222222222217</v>
      </c>
      <c r="F29" s="2">
        <v>0.64097222222222217</v>
      </c>
      <c r="G29" s="1">
        <v>3927</v>
      </c>
    </row>
    <row r="30" spans="2:7" x14ac:dyDescent="0.25">
      <c r="B30" t="s">
        <v>25</v>
      </c>
      <c r="C30" t="s">
        <v>64</v>
      </c>
      <c r="D30">
        <f>4*60+36</f>
        <v>276</v>
      </c>
      <c r="E30" s="2">
        <f t="shared" si="0"/>
        <v>0.67083333333333339</v>
      </c>
      <c r="F30" s="2">
        <v>0.67083333333333339</v>
      </c>
      <c r="G30" s="1">
        <v>6013</v>
      </c>
    </row>
    <row r="31" spans="2:7" x14ac:dyDescent="0.25">
      <c r="B31" t="s">
        <v>26</v>
      </c>
      <c r="C31" t="s">
        <v>65</v>
      </c>
      <c r="D31">
        <f>4*60+59</f>
        <v>299</v>
      </c>
      <c r="E31" s="2">
        <f t="shared" si="0"/>
        <v>0.68680555555555556</v>
      </c>
      <c r="F31" s="2">
        <v>0.68680555555555556</v>
      </c>
      <c r="G31" s="1">
        <v>6452</v>
      </c>
    </row>
    <row r="32" spans="2:7" x14ac:dyDescent="0.25">
      <c r="B32" t="s">
        <v>27</v>
      </c>
      <c r="C32" t="s">
        <v>66</v>
      </c>
      <c r="D32">
        <f>5*60+26</f>
        <v>326</v>
      </c>
      <c r="E32" s="2">
        <f t="shared" si="0"/>
        <v>0.7055555555555556</v>
      </c>
      <c r="F32" s="2">
        <v>0.7055555555555556</v>
      </c>
      <c r="G32" s="1">
        <v>7589</v>
      </c>
    </row>
    <row r="33" spans="2:7" x14ac:dyDescent="0.25">
      <c r="B33" t="s">
        <v>28</v>
      </c>
      <c r="C33" t="s">
        <v>67</v>
      </c>
      <c r="D33">
        <f>6*60+23</f>
        <v>383</v>
      </c>
      <c r="E33" s="2">
        <f t="shared" si="0"/>
        <v>0.74513888888888891</v>
      </c>
      <c r="F33" s="2">
        <v>0.74513888888888891</v>
      </c>
      <c r="G33" s="1">
        <v>9009</v>
      </c>
    </row>
    <row r="34" spans="2:7" x14ac:dyDescent="0.25">
      <c r="B34" t="s">
        <v>29</v>
      </c>
      <c r="C34" t="s">
        <v>68</v>
      </c>
      <c r="D34">
        <f>8*60+7</f>
        <v>487</v>
      </c>
      <c r="E34" s="2">
        <f t="shared" si="0"/>
        <v>0.81736111111111109</v>
      </c>
      <c r="F34" s="2">
        <v>0.81736111111111109</v>
      </c>
      <c r="G34" s="1">
        <v>11629</v>
      </c>
    </row>
    <row r="35" spans="2:7" x14ac:dyDescent="0.25">
      <c r="B35" t="s">
        <v>30</v>
      </c>
      <c r="C35" t="s">
        <v>45</v>
      </c>
      <c r="E35" s="2"/>
      <c r="G35" s="1">
        <v>27994</v>
      </c>
    </row>
    <row r="36" spans="2:7" x14ac:dyDescent="0.25">
      <c r="B36" t="s">
        <v>31</v>
      </c>
      <c r="C36" t="s">
        <v>46</v>
      </c>
      <c r="E36" s="2"/>
      <c r="G36" s="1">
        <v>28437</v>
      </c>
    </row>
    <row r="37" spans="2:7" x14ac:dyDescent="0.25">
      <c r="B37" t="s">
        <v>32</v>
      </c>
      <c r="C37" t="s">
        <v>47</v>
      </c>
      <c r="E37" s="2"/>
    </row>
    <row r="38" spans="2:7" x14ac:dyDescent="0.25">
      <c r="C38" s="1">
        <v>32414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G76"/>
  <sheetViews>
    <sheetView topLeftCell="A40" workbookViewId="0">
      <selection activeCell="G45" sqref="G45:G76"/>
    </sheetView>
  </sheetViews>
  <sheetFormatPr defaultRowHeight="15" x14ac:dyDescent="0.25"/>
  <cols>
    <col min="2" max="3" width="18.28515625" customWidth="1"/>
    <col min="4" max="4" width="17.85546875" customWidth="1"/>
    <col min="5" max="5" width="13.140625" customWidth="1"/>
    <col min="7" max="7" width="16.42578125" customWidth="1"/>
  </cols>
  <sheetData>
    <row r="3" spans="2:7" x14ac:dyDescent="0.25">
      <c r="B3" t="s">
        <v>37</v>
      </c>
      <c r="F3" s="2">
        <v>0.47916666666666669</v>
      </c>
    </row>
    <row r="5" spans="2:7" x14ac:dyDescent="0.25">
      <c r="B5" t="s">
        <v>33</v>
      </c>
      <c r="C5" t="s">
        <v>39</v>
      </c>
      <c r="D5" t="s">
        <v>71</v>
      </c>
      <c r="E5" t="s">
        <v>70</v>
      </c>
      <c r="F5" t="s">
        <v>69</v>
      </c>
      <c r="G5" t="s">
        <v>34</v>
      </c>
    </row>
    <row r="6" spans="2:7" x14ac:dyDescent="0.25">
      <c r="B6" t="s">
        <v>0</v>
      </c>
      <c r="C6" t="s">
        <v>40</v>
      </c>
      <c r="F6" s="2">
        <v>0.39166666666666666</v>
      </c>
      <c r="G6" s="1">
        <v>13558865</v>
      </c>
    </row>
    <row r="7" spans="2:7" x14ac:dyDescent="0.25">
      <c r="B7" t="s">
        <v>2</v>
      </c>
      <c r="C7" t="s">
        <v>41</v>
      </c>
      <c r="F7" s="2">
        <v>0.39444444444444443</v>
      </c>
      <c r="G7" s="1">
        <v>14598976</v>
      </c>
    </row>
    <row r="8" spans="2:7" x14ac:dyDescent="0.25">
      <c r="B8" t="s">
        <v>3</v>
      </c>
      <c r="C8" t="s">
        <v>42</v>
      </c>
      <c r="F8" s="2">
        <v>0.3979166666666667</v>
      </c>
      <c r="G8" s="1">
        <v>14678123</v>
      </c>
    </row>
    <row r="9" spans="2:7" x14ac:dyDescent="0.25">
      <c r="B9" t="s">
        <v>4</v>
      </c>
      <c r="C9" t="s">
        <v>43</v>
      </c>
      <c r="F9" s="2">
        <v>0.39930555555555558</v>
      </c>
      <c r="G9" s="1">
        <v>14330488</v>
      </c>
    </row>
    <row r="10" spans="2:7" x14ac:dyDescent="0.25">
      <c r="B10" t="s">
        <v>5</v>
      </c>
      <c r="C10" t="s">
        <v>44</v>
      </c>
      <c r="F10" s="2">
        <v>0.40138888888888885</v>
      </c>
      <c r="G10" s="1">
        <v>14297503</v>
      </c>
    </row>
    <row r="11" spans="2:7" x14ac:dyDescent="0.25">
      <c r="B11" t="s">
        <v>6</v>
      </c>
      <c r="C11" t="s">
        <v>48</v>
      </c>
      <c r="F11" s="2">
        <v>0.4145833333333333</v>
      </c>
      <c r="G11" s="1">
        <v>850228</v>
      </c>
    </row>
    <row r="12" spans="2:7" x14ac:dyDescent="0.25">
      <c r="B12" t="s">
        <v>7</v>
      </c>
      <c r="C12" t="s">
        <v>49</v>
      </c>
      <c r="F12" s="2">
        <v>0.41597222222222219</v>
      </c>
      <c r="G12" s="1">
        <v>2466266</v>
      </c>
    </row>
    <row r="13" spans="2:7" x14ac:dyDescent="0.25">
      <c r="B13" t="s">
        <v>8</v>
      </c>
      <c r="C13" t="s">
        <v>50</v>
      </c>
      <c r="F13" s="2">
        <v>0.41805555555555557</v>
      </c>
      <c r="G13" s="1">
        <v>1629694</v>
      </c>
    </row>
    <row r="14" spans="2:7" x14ac:dyDescent="0.25">
      <c r="B14" t="s">
        <v>9</v>
      </c>
      <c r="C14" t="s">
        <v>51</v>
      </c>
      <c r="F14" s="2">
        <v>0.43958333333333338</v>
      </c>
      <c r="G14" s="1">
        <v>1010279</v>
      </c>
    </row>
    <row r="15" spans="2:7" x14ac:dyDescent="0.25">
      <c r="B15" t="s">
        <v>10</v>
      </c>
      <c r="C15" t="s">
        <v>52</v>
      </c>
      <c r="F15" s="2">
        <v>0.44097222222222227</v>
      </c>
      <c r="G15" s="1">
        <v>1013199</v>
      </c>
    </row>
    <row r="16" spans="2:7" x14ac:dyDescent="0.25">
      <c r="B16" t="s">
        <v>11</v>
      </c>
      <c r="C16" t="s">
        <v>53</v>
      </c>
      <c r="F16" s="2">
        <v>0.46111111111111108</v>
      </c>
      <c r="G16" s="1">
        <v>1205936</v>
      </c>
    </row>
    <row r="17" spans="2:7" x14ac:dyDescent="0.25">
      <c r="B17" t="s">
        <v>12</v>
      </c>
      <c r="C17" t="s">
        <v>54</v>
      </c>
      <c r="D17">
        <f>24</f>
        <v>24</v>
      </c>
      <c r="E17" s="2">
        <f t="shared" ref="E17:E34" si="0">F17-$F$4</f>
        <v>0.49583333333333335</v>
      </c>
      <c r="F17" s="2">
        <v>0.49583333333333335</v>
      </c>
      <c r="G17" s="1">
        <v>952135</v>
      </c>
    </row>
    <row r="18" spans="2:7" x14ac:dyDescent="0.25">
      <c r="B18" t="s">
        <v>13</v>
      </c>
      <c r="C18" t="s">
        <v>55</v>
      </c>
      <c r="D18">
        <f>50</f>
        <v>50</v>
      </c>
      <c r="E18" s="2">
        <f t="shared" si="0"/>
        <v>0.51388888888888895</v>
      </c>
      <c r="F18" s="2">
        <v>0.51388888888888895</v>
      </c>
      <c r="G18" s="1">
        <v>1104342</v>
      </c>
    </row>
    <row r="19" spans="2:7" x14ac:dyDescent="0.25">
      <c r="B19" t="s">
        <v>14</v>
      </c>
      <c r="C19" t="s">
        <v>56</v>
      </c>
      <c r="D19">
        <f>60*1+14</f>
        <v>74</v>
      </c>
      <c r="E19" s="2">
        <f t="shared" si="0"/>
        <v>0.53055555555555556</v>
      </c>
      <c r="F19" s="2">
        <v>0.53055555555555556</v>
      </c>
      <c r="G19" s="1">
        <v>1282389</v>
      </c>
    </row>
    <row r="20" spans="2:7" x14ac:dyDescent="0.25">
      <c r="B20" t="s">
        <v>15</v>
      </c>
      <c r="C20" t="s">
        <v>57</v>
      </c>
      <c r="D20">
        <f>1*60+34</f>
        <v>94</v>
      </c>
      <c r="E20" s="2">
        <f t="shared" si="0"/>
        <v>0.5444444444444444</v>
      </c>
      <c r="F20" s="2">
        <v>0.5444444444444444</v>
      </c>
      <c r="G20" s="1">
        <v>1173886</v>
      </c>
    </row>
    <row r="21" spans="2:7" x14ac:dyDescent="0.25">
      <c r="B21" t="s">
        <v>16</v>
      </c>
      <c r="C21" t="s">
        <v>58</v>
      </c>
      <c r="D21">
        <f>1*60+36</f>
        <v>96</v>
      </c>
      <c r="E21" s="2">
        <f t="shared" si="0"/>
        <v>0.54583333333333328</v>
      </c>
      <c r="F21" s="2">
        <v>0.54583333333333328</v>
      </c>
      <c r="G21" s="1">
        <v>1198812</v>
      </c>
    </row>
    <row r="22" spans="2:7" x14ac:dyDescent="0.25">
      <c r="B22" t="s">
        <v>17</v>
      </c>
      <c r="C22" t="s">
        <v>59</v>
      </c>
      <c r="D22">
        <f>2*60+1</f>
        <v>121</v>
      </c>
      <c r="E22" s="2">
        <f t="shared" si="0"/>
        <v>0.56319444444444444</v>
      </c>
      <c r="F22" s="2">
        <v>0.56319444444444444</v>
      </c>
      <c r="G22" s="1">
        <v>1819744</v>
      </c>
    </row>
    <row r="23" spans="2:7" x14ac:dyDescent="0.25">
      <c r="B23" t="s">
        <v>18</v>
      </c>
      <c r="C23" t="s">
        <v>58</v>
      </c>
      <c r="D23">
        <f>60*2+3</f>
        <v>123</v>
      </c>
      <c r="E23" s="2">
        <f t="shared" si="0"/>
        <v>0.56458333333333333</v>
      </c>
      <c r="F23" s="2">
        <v>0.56458333333333333</v>
      </c>
      <c r="G23" s="1">
        <v>1407541</v>
      </c>
    </row>
    <row r="24" spans="2:7" x14ac:dyDescent="0.25">
      <c r="B24" t="s">
        <v>19</v>
      </c>
      <c r="C24" t="s">
        <v>60</v>
      </c>
      <c r="D24">
        <f>2*60+28</f>
        <v>148</v>
      </c>
      <c r="E24" s="2">
        <f t="shared" si="0"/>
        <v>0.58194444444444449</v>
      </c>
      <c r="F24" s="2">
        <v>0.58194444444444449</v>
      </c>
      <c r="G24" s="1">
        <v>3276137</v>
      </c>
    </row>
    <row r="25" spans="2:7" x14ac:dyDescent="0.25">
      <c r="B25" t="s">
        <v>20</v>
      </c>
      <c r="C25" t="s">
        <v>61</v>
      </c>
      <c r="D25">
        <f>2*60+51</f>
        <v>171</v>
      </c>
      <c r="E25" s="2">
        <f t="shared" si="0"/>
        <v>0.59791666666666665</v>
      </c>
      <c r="F25" s="2">
        <v>0.59791666666666665</v>
      </c>
      <c r="G25" s="1">
        <v>1574109</v>
      </c>
    </row>
    <row r="26" spans="2:7" x14ac:dyDescent="0.25">
      <c r="B26" t="s">
        <v>21</v>
      </c>
      <c r="C26" t="s">
        <v>48</v>
      </c>
      <c r="D26">
        <f>2*60+53</f>
        <v>173</v>
      </c>
      <c r="E26" s="2">
        <f t="shared" si="0"/>
        <v>0.59930555555555554</v>
      </c>
      <c r="F26" s="2">
        <v>0.59930555555555554</v>
      </c>
      <c r="G26" s="1">
        <v>1747241</v>
      </c>
    </row>
    <row r="27" spans="2:7" x14ac:dyDescent="0.25">
      <c r="B27" t="s">
        <v>22</v>
      </c>
      <c r="C27" t="s">
        <v>62</v>
      </c>
      <c r="D27">
        <f>3*60+12</f>
        <v>192</v>
      </c>
      <c r="E27" s="2">
        <f t="shared" si="0"/>
        <v>0.61249999999999993</v>
      </c>
      <c r="F27" s="2">
        <v>0.61249999999999993</v>
      </c>
      <c r="G27" s="1">
        <v>2357248</v>
      </c>
    </row>
    <row r="28" spans="2:7" x14ac:dyDescent="0.25">
      <c r="B28" t="s">
        <v>23</v>
      </c>
      <c r="C28" t="s">
        <v>48</v>
      </c>
      <c r="D28">
        <f>3*60+14</f>
        <v>194</v>
      </c>
      <c r="E28" s="2">
        <f t="shared" si="0"/>
        <v>0.61388888888888882</v>
      </c>
      <c r="F28" s="2">
        <v>0.61388888888888882</v>
      </c>
      <c r="G28" s="1">
        <v>858820</v>
      </c>
    </row>
    <row r="29" spans="2:7" x14ac:dyDescent="0.25">
      <c r="B29" t="s">
        <v>24</v>
      </c>
      <c r="C29" t="s">
        <v>63</v>
      </c>
      <c r="D29">
        <f>3*60+53</f>
        <v>233</v>
      </c>
      <c r="E29" s="2">
        <f t="shared" si="0"/>
        <v>0.64097222222222217</v>
      </c>
      <c r="F29" s="2">
        <v>0.64097222222222217</v>
      </c>
      <c r="G29" s="1">
        <v>2745758</v>
      </c>
    </row>
    <row r="30" spans="2:7" x14ac:dyDescent="0.25">
      <c r="B30" t="s">
        <v>25</v>
      </c>
      <c r="C30" t="s">
        <v>64</v>
      </c>
      <c r="D30">
        <f>4*60+36</f>
        <v>276</v>
      </c>
      <c r="E30" s="2">
        <f t="shared" si="0"/>
        <v>0.67083333333333339</v>
      </c>
      <c r="F30" s="2">
        <v>0.67083333333333339</v>
      </c>
      <c r="G30" s="1">
        <v>3496061</v>
      </c>
    </row>
    <row r="31" spans="2:7" x14ac:dyDescent="0.25">
      <c r="B31" t="s">
        <v>26</v>
      </c>
      <c r="C31" t="s">
        <v>65</v>
      </c>
      <c r="D31">
        <f>4*60+59</f>
        <v>299</v>
      </c>
      <c r="E31" s="2">
        <f t="shared" si="0"/>
        <v>0.68680555555555556</v>
      </c>
      <c r="F31" s="2">
        <v>0.68680555555555556</v>
      </c>
      <c r="G31" s="1">
        <v>4481813</v>
      </c>
    </row>
    <row r="32" spans="2:7" x14ac:dyDescent="0.25">
      <c r="B32" t="s">
        <v>27</v>
      </c>
      <c r="C32" t="s">
        <v>66</v>
      </c>
      <c r="D32">
        <f>5*60+26</f>
        <v>326</v>
      </c>
      <c r="E32" s="2">
        <f t="shared" si="0"/>
        <v>0.7055555555555556</v>
      </c>
      <c r="F32" s="2">
        <v>0.7055555555555556</v>
      </c>
      <c r="G32" s="1">
        <v>3832659</v>
      </c>
    </row>
    <row r="33" spans="2:7" x14ac:dyDescent="0.25">
      <c r="B33" t="s">
        <v>28</v>
      </c>
      <c r="C33" t="s">
        <v>67</v>
      </c>
      <c r="D33">
        <f>6*60+23</f>
        <v>383</v>
      </c>
      <c r="E33" s="2">
        <f t="shared" si="0"/>
        <v>0.74513888888888891</v>
      </c>
      <c r="F33" s="2">
        <v>0.74513888888888891</v>
      </c>
      <c r="G33" s="1">
        <v>5284747</v>
      </c>
    </row>
    <row r="34" spans="2:7" x14ac:dyDescent="0.25">
      <c r="B34" t="s">
        <v>29</v>
      </c>
      <c r="C34" t="s">
        <v>68</v>
      </c>
      <c r="D34">
        <f>8*60+7</f>
        <v>487</v>
      </c>
      <c r="E34" s="2">
        <f t="shared" si="0"/>
        <v>0.81736111111111109</v>
      </c>
      <c r="F34" s="2">
        <v>0.81736111111111109</v>
      </c>
      <c r="G34" s="1">
        <v>4973506</v>
      </c>
    </row>
    <row r="35" spans="2:7" x14ac:dyDescent="0.25">
      <c r="B35" t="s">
        <v>30</v>
      </c>
      <c r="C35" t="s">
        <v>45</v>
      </c>
      <c r="E35" s="2"/>
      <c r="G35" s="1">
        <v>13244987</v>
      </c>
    </row>
    <row r="36" spans="2:7" x14ac:dyDescent="0.25">
      <c r="B36" t="s">
        <v>31</v>
      </c>
      <c r="C36" t="s">
        <v>46</v>
      </c>
      <c r="E36" s="2"/>
      <c r="G36" s="1">
        <v>13414216</v>
      </c>
    </row>
    <row r="37" spans="2:7" x14ac:dyDescent="0.25">
      <c r="B37" t="s">
        <v>32</v>
      </c>
      <c r="C37" t="s">
        <v>47</v>
      </c>
      <c r="E37" s="2"/>
    </row>
    <row r="43" spans="2:7" x14ac:dyDescent="0.25">
      <c r="B43" t="s">
        <v>36</v>
      </c>
    </row>
    <row r="44" spans="2:7" x14ac:dyDescent="0.25">
      <c r="B44" t="s">
        <v>33</v>
      </c>
      <c r="C44" t="s">
        <v>39</v>
      </c>
      <c r="D44" t="s">
        <v>71</v>
      </c>
      <c r="E44" t="s">
        <v>70</v>
      </c>
      <c r="F44" t="s">
        <v>69</v>
      </c>
    </row>
    <row r="45" spans="2:7" x14ac:dyDescent="0.25">
      <c r="B45" t="s">
        <v>0</v>
      </c>
      <c r="C45" t="s">
        <v>40</v>
      </c>
      <c r="F45" s="2">
        <v>0.39166666666666666</v>
      </c>
      <c r="G45" s="1">
        <v>105872</v>
      </c>
    </row>
    <row r="46" spans="2:7" x14ac:dyDescent="0.25">
      <c r="B46" t="s">
        <v>2</v>
      </c>
      <c r="C46" t="s">
        <v>41</v>
      </c>
      <c r="F46" s="2">
        <v>0.39444444444444443</v>
      </c>
      <c r="G46" s="1">
        <v>138455</v>
      </c>
    </row>
    <row r="47" spans="2:7" x14ac:dyDescent="0.25">
      <c r="B47" t="s">
        <v>3</v>
      </c>
      <c r="C47" t="s">
        <v>42</v>
      </c>
      <c r="F47" s="2">
        <v>0.3979166666666667</v>
      </c>
      <c r="G47" s="1">
        <v>156739</v>
      </c>
    </row>
    <row r="48" spans="2:7" x14ac:dyDescent="0.25">
      <c r="B48" t="s">
        <v>4</v>
      </c>
      <c r="C48" t="s">
        <v>43</v>
      </c>
      <c r="F48" s="2">
        <v>0.39930555555555558</v>
      </c>
      <c r="G48" s="1">
        <v>153577</v>
      </c>
    </row>
    <row r="49" spans="2:7" x14ac:dyDescent="0.25">
      <c r="B49" t="s">
        <v>5</v>
      </c>
      <c r="C49" t="s">
        <v>44</v>
      </c>
      <c r="F49" s="2">
        <v>0.40138888888888885</v>
      </c>
      <c r="G49" s="1">
        <v>155923</v>
      </c>
    </row>
    <row r="50" spans="2:7" x14ac:dyDescent="0.25">
      <c r="B50" t="s">
        <v>6</v>
      </c>
      <c r="C50" t="s">
        <v>48</v>
      </c>
      <c r="F50" s="2">
        <v>0.4145833333333333</v>
      </c>
      <c r="G50" t="s">
        <v>1</v>
      </c>
    </row>
    <row r="51" spans="2:7" x14ac:dyDescent="0.25">
      <c r="B51" t="s">
        <v>7</v>
      </c>
      <c r="C51" t="s">
        <v>49</v>
      </c>
      <c r="F51" s="2">
        <v>0.41597222222222219</v>
      </c>
      <c r="G51" t="s">
        <v>1</v>
      </c>
    </row>
    <row r="52" spans="2:7" x14ac:dyDescent="0.25">
      <c r="B52" t="s">
        <v>8</v>
      </c>
      <c r="C52" t="s">
        <v>50</v>
      </c>
      <c r="F52" s="2">
        <v>0.41805555555555557</v>
      </c>
      <c r="G52" t="s">
        <v>1</v>
      </c>
    </row>
    <row r="53" spans="2:7" x14ac:dyDescent="0.25">
      <c r="B53" t="s">
        <v>9</v>
      </c>
      <c r="C53" t="s">
        <v>51</v>
      </c>
      <c r="F53" s="2">
        <v>0.43958333333333338</v>
      </c>
      <c r="G53" t="s">
        <v>1</v>
      </c>
    </row>
    <row r="54" spans="2:7" x14ac:dyDescent="0.25">
      <c r="B54" t="s">
        <v>10</v>
      </c>
      <c r="C54" t="s">
        <v>52</v>
      </c>
      <c r="F54" s="2">
        <v>0.44097222222222227</v>
      </c>
      <c r="G54" t="s">
        <v>1</v>
      </c>
    </row>
    <row r="55" spans="2:7" x14ac:dyDescent="0.25">
      <c r="B55" t="s">
        <v>11</v>
      </c>
      <c r="C55" t="s">
        <v>53</v>
      </c>
      <c r="F55" s="2">
        <v>0.46111111111111108</v>
      </c>
      <c r="G55" t="s">
        <v>1</v>
      </c>
    </row>
    <row r="56" spans="2:7" x14ac:dyDescent="0.25">
      <c r="B56" t="s">
        <v>12</v>
      </c>
      <c r="C56" t="s">
        <v>54</v>
      </c>
      <c r="D56">
        <f>24</f>
        <v>24</v>
      </c>
      <c r="E56" s="2">
        <f t="shared" ref="E56:E73" si="1">F56-$F$4</f>
        <v>0.49583333333333335</v>
      </c>
      <c r="F56" s="2">
        <v>0.49583333333333335</v>
      </c>
      <c r="G56" t="s">
        <v>1</v>
      </c>
    </row>
    <row r="57" spans="2:7" x14ac:dyDescent="0.25">
      <c r="B57" t="s">
        <v>13</v>
      </c>
      <c r="C57" t="s">
        <v>55</v>
      </c>
      <c r="D57">
        <f>50</f>
        <v>50</v>
      </c>
      <c r="E57" s="2">
        <f t="shared" si="1"/>
        <v>0.51388888888888895</v>
      </c>
      <c r="F57" s="2">
        <v>0.51388888888888895</v>
      </c>
      <c r="G57" t="s">
        <v>1</v>
      </c>
    </row>
    <row r="58" spans="2:7" x14ac:dyDescent="0.25">
      <c r="B58" t="s">
        <v>14</v>
      </c>
      <c r="C58" t="s">
        <v>56</v>
      </c>
      <c r="D58">
        <f>60*1+14</f>
        <v>74</v>
      </c>
      <c r="E58" s="2">
        <f t="shared" si="1"/>
        <v>0.53055555555555556</v>
      </c>
      <c r="F58" s="2">
        <v>0.53055555555555556</v>
      </c>
      <c r="G58" t="s">
        <v>1</v>
      </c>
    </row>
    <row r="59" spans="2:7" x14ac:dyDescent="0.25">
      <c r="B59" t="s">
        <v>15</v>
      </c>
      <c r="C59" t="s">
        <v>57</v>
      </c>
      <c r="D59">
        <f>1*60+34</f>
        <v>94</v>
      </c>
      <c r="E59" s="2">
        <f t="shared" si="1"/>
        <v>0.5444444444444444</v>
      </c>
      <c r="F59" s="2">
        <v>0.5444444444444444</v>
      </c>
      <c r="G59" s="1">
        <v>1711</v>
      </c>
    </row>
    <row r="60" spans="2:7" x14ac:dyDescent="0.25">
      <c r="B60" t="s">
        <v>16</v>
      </c>
      <c r="C60" t="s">
        <v>58</v>
      </c>
      <c r="D60">
        <f>1*60+36</f>
        <v>96</v>
      </c>
      <c r="E60" s="2">
        <f t="shared" si="1"/>
        <v>0.54583333333333328</v>
      </c>
      <c r="F60" s="2">
        <v>0.54583333333333328</v>
      </c>
      <c r="G60" t="s">
        <v>1</v>
      </c>
    </row>
    <row r="61" spans="2:7" x14ac:dyDescent="0.25">
      <c r="B61" t="s">
        <v>17</v>
      </c>
      <c r="C61" t="s">
        <v>59</v>
      </c>
      <c r="D61">
        <f>2*60+1</f>
        <v>121</v>
      </c>
      <c r="E61" s="2">
        <f t="shared" si="1"/>
        <v>0.56319444444444444</v>
      </c>
      <c r="F61" s="2">
        <v>0.56319444444444444</v>
      </c>
      <c r="G61" s="1">
        <v>1674</v>
      </c>
    </row>
    <row r="62" spans="2:7" x14ac:dyDescent="0.25">
      <c r="B62" t="s">
        <v>18</v>
      </c>
      <c r="C62" t="s">
        <v>58</v>
      </c>
      <c r="D62">
        <f>60*2+3</f>
        <v>123</v>
      </c>
      <c r="E62" s="2">
        <f t="shared" si="1"/>
        <v>0.56458333333333333</v>
      </c>
      <c r="F62" s="2">
        <v>0.56458333333333333</v>
      </c>
      <c r="G62" s="1">
        <v>1031</v>
      </c>
    </row>
    <row r="63" spans="2:7" x14ac:dyDescent="0.25">
      <c r="B63" t="s">
        <v>19</v>
      </c>
      <c r="C63" t="s">
        <v>60</v>
      </c>
      <c r="D63">
        <f>2*60+28</f>
        <v>148</v>
      </c>
      <c r="E63" s="2">
        <f t="shared" si="1"/>
        <v>0.58194444444444449</v>
      </c>
      <c r="F63" s="2">
        <v>0.58194444444444449</v>
      </c>
      <c r="G63" s="1">
        <v>7419</v>
      </c>
    </row>
    <row r="64" spans="2:7" x14ac:dyDescent="0.25">
      <c r="B64" t="s">
        <v>20</v>
      </c>
      <c r="C64" t="s">
        <v>61</v>
      </c>
      <c r="D64">
        <f>2*60+51</f>
        <v>171</v>
      </c>
      <c r="E64" s="2">
        <f t="shared" si="1"/>
        <v>0.59791666666666665</v>
      </c>
      <c r="F64" s="2">
        <v>0.59791666666666665</v>
      </c>
      <c r="G64" s="1">
        <v>32994</v>
      </c>
    </row>
    <row r="65" spans="2:7" x14ac:dyDescent="0.25">
      <c r="B65" t="s">
        <v>21</v>
      </c>
      <c r="C65" t="s">
        <v>48</v>
      </c>
      <c r="D65">
        <f>2*60+53</f>
        <v>173</v>
      </c>
      <c r="E65" s="2">
        <f t="shared" si="1"/>
        <v>0.59930555555555554</v>
      </c>
      <c r="F65" s="2">
        <v>0.59930555555555554</v>
      </c>
      <c r="G65" s="1">
        <v>26359</v>
      </c>
    </row>
    <row r="66" spans="2:7" x14ac:dyDescent="0.25">
      <c r="B66" t="s">
        <v>22</v>
      </c>
      <c r="C66" t="s">
        <v>62</v>
      </c>
      <c r="D66">
        <f>3*60+12</f>
        <v>192</v>
      </c>
      <c r="E66" s="2">
        <f t="shared" si="1"/>
        <v>0.61249999999999993</v>
      </c>
      <c r="F66" s="2">
        <v>0.61249999999999993</v>
      </c>
      <c r="G66" s="1">
        <v>15314</v>
      </c>
    </row>
    <row r="67" spans="2:7" x14ac:dyDescent="0.25">
      <c r="B67" t="s">
        <v>23</v>
      </c>
      <c r="C67" t="s">
        <v>48</v>
      </c>
      <c r="D67">
        <f>3*60+14</f>
        <v>194</v>
      </c>
      <c r="E67" s="2">
        <f t="shared" si="1"/>
        <v>0.61388888888888882</v>
      </c>
      <c r="F67" s="2">
        <v>0.61388888888888882</v>
      </c>
      <c r="G67" s="1">
        <v>28330</v>
      </c>
    </row>
    <row r="68" spans="2:7" x14ac:dyDescent="0.25">
      <c r="B68" t="s">
        <v>24</v>
      </c>
      <c r="C68" t="s">
        <v>63</v>
      </c>
      <c r="D68">
        <f>3*60+53</f>
        <v>233</v>
      </c>
      <c r="E68" s="2">
        <f t="shared" si="1"/>
        <v>0.64097222222222217</v>
      </c>
      <c r="F68" s="2">
        <v>0.64097222222222217</v>
      </c>
      <c r="G68" s="1">
        <v>26190</v>
      </c>
    </row>
    <row r="69" spans="2:7" x14ac:dyDescent="0.25">
      <c r="B69" t="s">
        <v>25</v>
      </c>
      <c r="C69" t="s">
        <v>64</v>
      </c>
      <c r="D69">
        <f>4*60+36</f>
        <v>276</v>
      </c>
      <c r="E69" s="2">
        <f t="shared" si="1"/>
        <v>0.67083333333333339</v>
      </c>
      <c r="F69" s="2">
        <v>0.67083333333333339</v>
      </c>
      <c r="G69" s="1">
        <v>45661</v>
      </c>
    </row>
    <row r="70" spans="2:7" x14ac:dyDescent="0.25">
      <c r="B70" t="s">
        <v>26</v>
      </c>
      <c r="C70" t="s">
        <v>65</v>
      </c>
      <c r="D70">
        <f>4*60+59</f>
        <v>299</v>
      </c>
      <c r="E70" s="2">
        <f t="shared" si="1"/>
        <v>0.68680555555555556</v>
      </c>
      <c r="F70" s="2">
        <v>0.68680555555555556</v>
      </c>
      <c r="G70" s="1">
        <v>49334</v>
      </c>
    </row>
    <row r="71" spans="2:7" x14ac:dyDescent="0.25">
      <c r="B71" t="s">
        <v>27</v>
      </c>
      <c r="C71" t="s">
        <v>66</v>
      </c>
      <c r="D71">
        <f>5*60+26</f>
        <v>326</v>
      </c>
      <c r="E71" s="2">
        <f t="shared" si="1"/>
        <v>0.7055555555555556</v>
      </c>
      <c r="F71" s="2">
        <v>0.7055555555555556</v>
      </c>
      <c r="G71" s="1">
        <v>58120</v>
      </c>
    </row>
    <row r="72" spans="2:7" x14ac:dyDescent="0.25">
      <c r="B72" t="s">
        <v>28</v>
      </c>
      <c r="C72" t="s">
        <v>67</v>
      </c>
      <c r="D72">
        <f>6*60+23</f>
        <v>383</v>
      </c>
      <c r="E72" s="2">
        <f t="shared" si="1"/>
        <v>0.74513888888888891</v>
      </c>
      <c r="F72" s="2">
        <v>0.74513888888888891</v>
      </c>
      <c r="G72" s="1">
        <v>66545</v>
      </c>
    </row>
    <row r="73" spans="2:7" x14ac:dyDescent="0.25">
      <c r="B73" t="s">
        <v>29</v>
      </c>
      <c r="C73" t="s">
        <v>68</v>
      </c>
      <c r="D73">
        <f>8*60+7</f>
        <v>487</v>
      </c>
      <c r="E73" s="2">
        <f t="shared" si="1"/>
        <v>0.81736111111111109</v>
      </c>
      <c r="F73" s="2">
        <v>0.81736111111111109</v>
      </c>
      <c r="G73" s="1">
        <v>90196</v>
      </c>
    </row>
    <row r="74" spans="2:7" x14ac:dyDescent="0.25">
      <c r="B74" t="s">
        <v>30</v>
      </c>
      <c r="C74" t="s">
        <v>45</v>
      </c>
      <c r="E74" s="2"/>
      <c r="G74" s="1">
        <v>114371</v>
      </c>
    </row>
    <row r="75" spans="2:7" x14ac:dyDescent="0.25">
      <c r="B75" t="s">
        <v>31</v>
      </c>
      <c r="C75" t="s">
        <v>46</v>
      </c>
      <c r="E75" s="2"/>
      <c r="G75" s="1">
        <v>127131</v>
      </c>
    </row>
    <row r="76" spans="2:7" x14ac:dyDescent="0.25">
      <c r="B76" t="s">
        <v>32</v>
      </c>
      <c r="C76" t="s">
        <v>47</v>
      </c>
      <c r="E76" s="2"/>
      <c r="G76" s="1">
        <v>149057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38E52-5A37-4526-9FFB-7C4083362A52}">
  <dimension ref="B3:BH52"/>
  <sheetViews>
    <sheetView tabSelected="1" topLeftCell="AO1" workbookViewId="0">
      <selection activeCell="AZ16" sqref="AZ16"/>
    </sheetView>
  </sheetViews>
  <sheetFormatPr defaultRowHeight="15" x14ac:dyDescent="0.25"/>
  <cols>
    <col min="1" max="1" width="9.140625" style="10"/>
    <col min="2" max="2" width="23.42578125" style="10" customWidth="1"/>
    <col min="3" max="3" width="20.7109375" style="10" customWidth="1"/>
    <col min="4" max="4" width="18.85546875" style="10" customWidth="1"/>
    <col min="5" max="5" width="15.28515625" style="10" customWidth="1"/>
    <col min="6" max="6" width="9.140625" style="10"/>
    <col min="7" max="7" width="14.28515625" style="10" customWidth="1"/>
    <col min="8" max="8" width="17.140625" style="10" customWidth="1"/>
    <col min="9" max="9" width="26" style="10" customWidth="1"/>
    <col min="10" max="10" width="22.42578125" style="10" customWidth="1"/>
    <col min="11" max="11" width="21.42578125" style="10" customWidth="1"/>
    <col min="12" max="13" width="9.140625" style="10"/>
    <col min="14" max="14" width="13.42578125" style="10" customWidth="1"/>
    <col min="15" max="16" width="9.140625" style="10"/>
    <col min="17" max="17" width="14.28515625" style="10" customWidth="1"/>
    <col min="18" max="18" width="12.42578125" style="10" customWidth="1"/>
    <col min="19" max="19" width="14.42578125" style="10" customWidth="1"/>
    <col min="20" max="21" width="18.42578125" style="10" customWidth="1"/>
    <col min="22" max="22" width="15" style="10" customWidth="1"/>
    <col min="23" max="24" width="14.28515625" style="10" customWidth="1"/>
    <col min="25" max="26" width="18.7109375" style="10" customWidth="1"/>
    <col min="27" max="27" width="16.140625" style="10" customWidth="1"/>
    <col min="28" max="28" width="15" style="10" customWidth="1"/>
    <col min="29" max="29" width="18.7109375" style="10" customWidth="1"/>
    <col min="30" max="31" width="21.7109375" style="10" customWidth="1"/>
    <col min="32" max="32" width="12" style="10" bestFit="1" customWidth="1"/>
    <col min="33" max="33" width="9.140625" style="10"/>
    <col min="34" max="34" width="14.42578125" style="10" customWidth="1"/>
    <col min="35" max="36" width="19" style="10" customWidth="1"/>
    <col min="37" max="37" width="13.7109375" style="10" customWidth="1"/>
    <col min="38" max="38" width="12.42578125" style="10" customWidth="1"/>
    <col min="39" max="39" width="12.7109375" style="10" customWidth="1"/>
    <col min="40" max="41" width="18.28515625" style="10" customWidth="1"/>
    <col min="42" max="43" width="9.140625" style="10"/>
    <col min="44" max="44" width="15.28515625" style="10" customWidth="1"/>
    <col min="45" max="46" width="18.7109375" style="10" customWidth="1"/>
    <col min="47" max="47" width="14.85546875" style="10" customWidth="1"/>
    <col min="48" max="48" width="9.140625" style="10"/>
    <col min="49" max="49" width="14.28515625" style="10" customWidth="1"/>
    <col min="50" max="51" width="18.85546875" style="10" customWidth="1"/>
    <col min="52" max="53" width="9.140625" style="10"/>
    <col min="54" max="54" width="13.42578125" style="10" customWidth="1"/>
    <col min="55" max="58" width="18.140625" style="10" customWidth="1"/>
    <col min="59" max="59" width="16.5703125" style="10" customWidth="1"/>
    <col min="60" max="60" width="19.5703125" style="10" customWidth="1"/>
    <col min="61" max="16384" width="9.140625" style="10"/>
  </cols>
  <sheetData>
    <row r="3" spans="2:60" x14ac:dyDescent="0.25">
      <c r="B3" s="14"/>
      <c r="C3" s="14"/>
      <c r="D3" s="14"/>
      <c r="E3" s="14"/>
      <c r="F3" s="9">
        <v>0.41875000000000001</v>
      </c>
      <c r="G3" s="9"/>
      <c r="H3" s="9"/>
      <c r="I3" s="9"/>
      <c r="J3" s="9"/>
      <c r="K3" s="9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</row>
    <row r="4" spans="2:60" x14ac:dyDescent="0.25">
      <c r="B4" s="14"/>
      <c r="C4" s="14"/>
      <c r="D4" s="14"/>
      <c r="E4" s="14"/>
      <c r="F4" s="14"/>
      <c r="G4" s="14"/>
      <c r="H4" s="14"/>
      <c r="I4" s="14"/>
      <c r="J4" s="14"/>
      <c r="K4" s="14"/>
      <c r="L4" s="17" t="s">
        <v>72</v>
      </c>
      <c r="M4" s="17"/>
      <c r="N4" s="17"/>
      <c r="O4" s="17"/>
      <c r="P4" s="17"/>
      <c r="Q4" s="17" t="s">
        <v>119</v>
      </c>
      <c r="R4" s="17"/>
      <c r="S4" s="17"/>
      <c r="T4" s="17"/>
      <c r="U4" s="17"/>
      <c r="V4" s="17" t="s">
        <v>80</v>
      </c>
      <c r="W4" s="17"/>
      <c r="X4" s="17"/>
      <c r="Y4" s="17"/>
      <c r="Z4" s="17"/>
      <c r="AA4" s="17" t="s">
        <v>81</v>
      </c>
      <c r="AB4" s="17"/>
      <c r="AC4" s="17"/>
      <c r="AD4" s="17"/>
      <c r="AE4" s="17"/>
      <c r="AF4" s="17" t="s">
        <v>82</v>
      </c>
      <c r="AG4" s="17"/>
      <c r="AH4" s="17"/>
      <c r="AI4" s="17"/>
      <c r="AJ4" s="14"/>
      <c r="AK4" s="17" t="s">
        <v>83</v>
      </c>
      <c r="AL4" s="17"/>
      <c r="AM4" s="17"/>
      <c r="AN4" s="17"/>
      <c r="AO4" s="17"/>
      <c r="AP4" s="17" t="s">
        <v>84</v>
      </c>
      <c r="AQ4" s="17"/>
      <c r="AR4" s="17"/>
      <c r="AS4" s="17"/>
      <c r="AT4" s="17"/>
      <c r="AU4" s="17" t="s">
        <v>85</v>
      </c>
      <c r="AV4" s="17"/>
      <c r="AW4" s="17"/>
      <c r="AX4" s="17"/>
      <c r="AY4" s="17"/>
      <c r="AZ4" s="17" t="s">
        <v>86</v>
      </c>
      <c r="BA4" s="17"/>
      <c r="BB4" s="17"/>
      <c r="BC4" s="17"/>
      <c r="BD4" s="17"/>
      <c r="BE4" s="14"/>
      <c r="BF4" s="14"/>
      <c r="BG4" s="17" t="s">
        <v>87</v>
      </c>
      <c r="BH4" s="17"/>
    </row>
    <row r="5" spans="2:60" x14ac:dyDescent="0.25">
      <c r="B5" s="14" t="s">
        <v>33</v>
      </c>
      <c r="C5" s="14" t="s">
        <v>39</v>
      </c>
      <c r="D5" s="14" t="s">
        <v>71</v>
      </c>
      <c r="E5" s="14" t="s">
        <v>70</v>
      </c>
      <c r="F5" s="14" t="s">
        <v>69</v>
      </c>
      <c r="G5" s="14" t="s">
        <v>73</v>
      </c>
      <c r="H5" s="14" t="s">
        <v>74</v>
      </c>
      <c r="I5" s="14" t="s">
        <v>75</v>
      </c>
      <c r="J5" s="14" t="s">
        <v>76</v>
      </c>
      <c r="K5" s="14" t="s">
        <v>77</v>
      </c>
      <c r="L5" s="14" t="s">
        <v>35</v>
      </c>
      <c r="M5" s="14" t="s">
        <v>38</v>
      </c>
      <c r="N5" s="14" t="s">
        <v>37</v>
      </c>
      <c r="O5" s="14" t="s">
        <v>36</v>
      </c>
      <c r="P5" s="14" t="s">
        <v>118</v>
      </c>
      <c r="Q5" s="14" t="s">
        <v>35</v>
      </c>
      <c r="R5" s="14" t="s">
        <v>38</v>
      </c>
      <c r="S5" s="14" t="s">
        <v>78</v>
      </c>
      <c r="T5" s="14" t="s">
        <v>79</v>
      </c>
      <c r="U5" s="14" t="s">
        <v>118</v>
      </c>
      <c r="V5" s="14" t="s">
        <v>35</v>
      </c>
      <c r="W5" s="14" t="s">
        <v>38</v>
      </c>
      <c r="X5" s="14" t="s">
        <v>78</v>
      </c>
      <c r="Y5" s="14" t="s">
        <v>79</v>
      </c>
      <c r="Z5" s="14" t="s">
        <v>118</v>
      </c>
      <c r="AA5" s="14" t="s">
        <v>35</v>
      </c>
      <c r="AB5" s="14" t="s">
        <v>38</v>
      </c>
      <c r="AC5" s="14" t="s">
        <v>78</v>
      </c>
      <c r="AD5" s="14" t="s">
        <v>79</v>
      </c>
      <c r="AE5" s="14" t="s">
        <v>118</v>
      </c>
      <c r="AF5" s="14" t="s">
        <v>35</v>
      </c>
      <c r="AG5" s="14" t="s">
        <v>38</v>
      </c>
      <c r="AH5" s="14" t="s">
        <v>78</v>
      </c>
      <c r="AI5" s="14" t="s">
        <v>79</v>
      </c>
      <c r="AJ5" s="14" t="s">
        <v>118</v>
      </c>
      <c r="AK5" s="14" t="s">
        <v>35</v>
      </c>
      <c r="AL5" s="14" t="s">
        <v>38</v>
      </c>
      <c r="AM5" s="14" t="s">
        <v>78</v>
      </c>
      <c r="AN5" s="14" t="s">
        <v>79</v>
      </c>
      <c r="AO5" s="14" t="s">
        <v>118</v>
      </c>
      <c r="AP5" s="14" t="s">
        <v>35</v>
      </c>
      <c r="AQ5" s="14" t="s">
        <v>38</v>
      </c>
      <c r="AR5" s="14" t="s">
        <v>78</v>
      </c>
      <c r="AS5" s="14" t="s">
        <v>79</v>
      </c>
      <c r="AT5" s="14" t="s">
        <v>118</v>
      </c>
      <c r="AU5" s="14" t="s">
        <v>35</v>
      </c>
      <c r="AV5" s="14" t="s">
        <v>38</v>
      </c>
      <c r="AW5" s="14" t="s">
        <v>78</v>
      </c>
      <c r="AX5" s="14" t="s">
        <v>79</v>
      </c>
      <c r="AY5" s="14" t="s">
        <v>118</v>
      </c>
      <c r="AZ5" s="14" t="s">
        <v>35</v>
      </c>
      <c r="BA5" s="14" t="s">
        <v>38</v>
      </c>
      <c r="BB5" s="14" t="s">
        <v>78</v>
      </c>
      <c r="BC5" s="14" t="s">
        <v>79</v>
      </c>
      <c r="BD5" s="14" t="s">
        <v>118</v>
      </c>
      <c r="BE5" s="14"/>
      <c r="BF5" s="14"/>
      <c r="BG5" s="10" t="s">
        <v>71</v>
      </c>
      <c r="BH5" s="14" t="s">
        <v>88</v>
      </c>
    </row>
    <row r="6" spans="2:60" s="4" customFormat="1" x14ac:dyDescent="0.25">
      <c r="B6" s="4" t="s">
        <v>89</v>
      </c>
      <c r="C6" s="5" t="s">
        <v>40</v>
      </c>
      <c r="D6" s="5"/>
      <c r="E6" s="5"/>
      <c r="F6" s="7">
        <v>0.39374999999999999</v>
      </c>
      <c r="G6" s="8">
        <v>9.9733999999999998</v>
      </c>
      <c r="H6" s="8">
        <v>18.873899999999999</v>
      </c>
      <c r="I6" s="8">
        <v>15.678000000000001</v>
      </c>
      <c r="J6" s="8">
        <f>H6-I6</f>
        <v>3.1958999999999982</v>
      </c>
      <c r="K6" s="8">
        <f>I6-G6</f>
        <v>5.704600000000001</v>
      </c>
      <c r="L6" s="13">
        <v>261448</v>
      </c>
      <c r="M6" s="13">
        <v>56540</v>
      </c>
      <c r="N6" s="13">
        <v>9553212</v>
      </c>
      <c r="O6" s="13">
        <v>193469</v>
      </c>
      <c r="P6" s="13">
        <v>3559482</v>
      </c>
      <c r="Q6" s="5">
        <f>(L6+41130)/9817.1</f>
        <v>30.821525705147138</v>
      </c>
      <c r="R6" s="5">
        <f>(M6-895.67)/4.4253</f>
        <v>12574.137346620568</v>
      </c>
      <c r="S6" s="5">
        <f>(N6-135841)/69413</f>
        <v>135.6715744889286</v>
      </c>
      <c r="T6" s="5">
        <f t="shared" ref="T6:T37" si="0">(4*10^-9*O6)+0.0001</f>
        <v>8.738760000000001E-4</v>
      </c>
      <c r="U6" s="5">
        <f>(P6+4076.7)/5248.6</f>
        <v>678.95414015165943</v>
      </c>
      <c r="V6" s="5">
        <f>Q6/1000*1.2381</f>
        <v>3.8160130975542668E-2</v>
      </c>
      <c r="W6" s="5">
        <f>R6/1000*1.64^-1</f>
        <v>7.6671569186710773</v>
      </c>
      <c r="X6" s="5">
        <f>S6/1000*1.8084</f>
        <v>0.2453484753057785</v>
      </c>
      <c r="Y6" s="5">
        <f>T6/1000*6.0383</f>
        <v>5.2767254508000002E-6</v>
      </c>
      <c r="Z6" s="5">
        <f>U6/1000*6.57*10^-1</f>
        <v>0.4460728700796403</v>
      </c>
      <c r="AA6" s="5">
        <f>(Q6/1000000)*0.0019*30.07*1000</f>
        <v>1.7609262281121716E-3</v>
      </c>
      <c r="AB6" s="5">
        <f>(R6/1000000)*0.00037*4*1000</f>
        <v>1.8609723272998438E-2</v>
      </c>
      <c r="AC6" s="5">
        <f>(S6/1000000)*0.0245*44.01*1000</f>
        <v>0.14628719683481481</v>
      </c>
      <c r="AD6" s="5">
        <f>(T6/1000000)*0.00024*146.06*1000</f>
        <v>3.0633198854400007E-8</v>
      </c>
      <c r="AE6" s="5">
        <f>(U6/1000000)*0.0015*16.04*1000</f>
        <v>1.6335636612048923E-2</v>
      </c>
      <c r="AF6" s="5">
        <f>(V6*J6/1000)+(AA6*K6/1000)</f>
        <v>1.3200134234562545E-4</v>
      </c>
      <c r="AG6" s="5">
        <f>(W6*J6/1000)+(AB6*K6/1000)</f>
        <v>2.4609627823764028E-2</v>
      </c>
      <c r="AH6" s="5">
        <f>(X6*J6/1000)+(AC6*K6/1000)</f>
        <v>1.6186191352936218E-3</v>
      </c>
      <c r="AI6" s="5">
        <f>(Y6*J6/1000)+(AD6*K6/1000)</f>
        <v>1.7038637014396521E-8</v>
      </c>
      <c r="AJ6" s="5">
        <f>(Z6*J6/1000)+(AE6*K6/1000)</f>
        <v>1.5187925581046161E-3</v>
      </c>
      <c r="AK6" s="5">
        <f>AF6/K6*1000</f>
        <v>2.3139456288894127E-2</v>
      </c>
      <c r="AL6" s="5">
        <f>AG6/K6*1000</f>
        <v>4.3139970942334305</v>
      </c>
      <c r="AM6" s="5">
        <f>AH6/K6*1000</f>
        <v>0.28373928676745458</v>
      </c>
      <c r="AN6" s="5">
        <f>AI6/K6*1000</f>
        <v>2.9868241444442237E-6</v>
      </c>
      <c r="AO6" s="5">
        <f>AJ6/K6*1000</f>
        <v>0.26623997442495806</v>
      </c>
      <c r="AP6" s="5"/>
      <c r="AQ6" s="5"/>
      <c r="AR6" s="5"/>
      <c r="AS6" s="5"/>
      <c r="AT6" s="5"/>
      <c r="BF6" s="5"/>
    </row>
    <row r="7" spans="2:60" s="4" customFormat="1" x14ac:dyDescent="0.25">
      <c r="B7" s="4" t="s">
        <v>90</v>
      </c>
      <c r="C7" s="5" t="s">
        <v>41</v>
      </c>
      <c r="D7" s="5"/>
      <c r="E7" s="5"/>
      <c r="F7" s="7">
        <v>0.39444444444444443</v>
      </c>
      <c r="G7" s="8">
        <v>9.9389000000000003</v>
      </c>
      <c r="H7" s="8">
        <v>18.7516</v>
      </c>
      <c r="I7" s="8">
        <v>15.7149</v>
      </c>
      <c r="J7" s="8">
        <f t="shared" ref="J7:J37" si="1">H7-I7</f>
        <v>3.0366999999999997</v>
      </c>
      <c r="K7" s="8">
        <f t="shared" ref="K7:K37" si="2">I7-G7</f>
        <v>5.7759999999999998</v>
      </c>
      <c r="L7" s="13">
        <v>289273</v>
      </c>
      <c r="M7" s="13">
        <v>60347</v>
      </c>
      <c r="N7" s="13">
        <v>10064597</v>
      </c>
      <c r="O7" s="13">
        <v>215184</v>
      </c>
      <c r="P7" s="13">
        <v>3864494</v>
      </c>
      <c r="Q7" s="5">
        <f t="shared" ref="Q7:Q37" si="3">(L7+41130)/9817.1</f>
        <v>33.655865785211518</v>
      </c>
      <c r="R7" s="5">
        <f t="shared" ref="R7:R37" si="4">(M7-895.67)/4.4253</f>
        <v>13434.418005558946</v>
      </c>
      <c r="S7" s="5">
        <f t="shared" ref="S7:S37" si="5">(N7-135841)/69413</f>
        <v>143.03885439326928</v>
      </c>
      <c r="T7" s="5">
        <f t="shared" si="0"/>
        <v>9.6073600000000012E-4</v>
      </c>
      <c r="U7" s="5">
        <f t="shared" ref="U7:U37" si="6">(P7+4076.7)/5248.6</f>
        <v>737.06716076668067</v>
      </c>
      <c r="V7" s="5">
        <f t="shared" ref="V7:V37" si="7">Q7/1000*1.2381</f>
        <v>4.1669327428670383E-2</v>
      </c>
      <c r="W7" s="5">
        <f t="shared" ref="W7:W37" si="8">R7/1000*1.64^-1</f>
        <v>8.1917182960725281</v>
      </c>
      <c r="X7" s="5">
        <f t="shared" ref="X7:X37" si="9">S7/1000*1.8084</f>
        <v>0.25867146428478816</v>
      </c>
      <c r="Y7" s="5">
        <f t="shared" ref="Y7:Y37" si="10">T7/1000*6.0383</f>
        <v>5.8012121888E-6</v>
      </c>
      <c r="Z7" s="5">
        <f t="shared" ref="Z7:Z37" si="11">U7/1000*6.57*10^-1</f>
        <v>0.48425312462370923</v>
      </c>
      <c r="AA7" s="5">
        <f t="shared" ref="AA7:AA37" si="12">(Q7/1000000)*0.0019*30.07*1000</f>
        <v>1.9228605799064898E-3</v>
      </c>
      <c r="AB7" s="5">
        <f t="shared" ref="AB7:AB37" si="13">(R7/1000000)*0.00037*4*1000</f>
        <v>1.9882938648227239E-2</v>
      </c>
      <c r="AC7" s="5">
        <f t="shared" ref="AC7:AC37" si="14">(S7/1000000)*0.0245*44.01*1000</f>
        <v>0.15423092955527065</v>
      </c>
      <c r="AD7" s="5">
        <f t="shared" ref="AD7:AD37" si="15">(T7/1000000)*0.00024*146.06*1000</f>
        <v>3.36780240384E-8</v>
      </c>
      <c r="AE7" s="5">
        <f t="shared" ref="AE7:AE37" si="16">(U7/1000000)*0.0015*16.04*1000</f>
        <v>1.7733835888046334E-2</v>
      </c>
      <c r="AF7" s="5">
        <f t="shared" ref="AF7:AF37" si="17">(V7*J7/1000)+(AA7*K7/1000)</f>
        <v>1.3764368931218322E-4</v>
      </c>
      <c r="AG7" s="5">
        <f t="shared" ref="AG7:AG37" si="18">(W7*J7/1000)+(AB7*K7/1000)</f>
        <v>2.4990634803315606E-2</v>
      </c>
      <c r="AH7" s="5">
        <f t="shared" ref="AH7:AH37" si="19">(X7*J7/1000)+(AC7*K7/1000)</f>
        <v>1.6763454847048595E-3</v>
      </c>
      <c r="AI7" s="5">
        <f t="shared" ref="AI7:AI37" si="20">(Y7*J7/1000)+(AD7*K7/1000)</f>
        <v>1.7811065320574757E-8</v>
      </c>
      <c r="AJ7" s="5">
        <f t="shared" ref="AJ7:AJ37" si="21">(Z7*J7/1000)+(AE7*K7/1000)</f>
        <v>1.5729620996341733E-3</v>
      </c>
      <c r="AK7" s="5">
        <f t="shared" ref="AK7:AK37" si="22">AF7/K7*1000</f>
        <v>2.3830278620530339E-2</v>
      </c>
      <c r="AL7" s="5">
        <f t="shared" ref="AL7:AL37" si="23">AG7/K7*1000</f>
        <v>4.3266334493274945</v>
      </c>
      <c r="AM7" s="5">
        <f t="shared" ref="AM7:AM37" si="24">AH7/K7*1000</f>
        <v>0.29022601882009341</v>
      </c>
      <c r="AN7" s="5">
        <f t="shared" ref="AN7:AN37" si="25">AI7/K7*1000</f>
        <v>3.0836331926202836E-6</v>
      </c>
      <c r="AO7" s="5">
        <f t="shared" ref="AO7:AO37" si="26">AJ7/K7*1000</f>
        <v>0.27232723331616576</v>
      </c>
      <c r="AP7" s="5"/>
      <c r="AQ7" s="5"/>
      <c r="AR7" s="5"/>
      <c r="AS7" s="5"/>
      <c r="AT7" s="5"/>
      <c r="BF7" s="5"/>
    </row>
    <row r="8" spans="2:60" s="4" customFormat="1" x14ac:dyDescent="0.25">
      <c r="B8" s="4" t="s">
        <v>91</v>
      </c>
      <c r="C8" s="5" t="s">
        <v>42</v>
      </c>
      <c r="D8" s="5"/>
      <c r="E8" s="5"/>
      <c r="F8" s="7">
        <v>0.39513888888888887</v>
      </c>
      <c r="G8" s="8">
        <v>9.9786000000000001</v>
      </c>
      <c r="H8" s="8">
        <v>18.9389</v>
      </c>
      <c r="I8" s="8">
        <v>14.727</v>
      </c>
      <c r="J8" s="8">
        <f t="shared" si="1"/>
        <v>4.2119</v>
      </c>
      <c r="K8" s="8">
        <f t="shared" si="2"/>
        <v>4.7484000000000002</v>
      </c>
      <c r="L8" s="13">
        <v>201217</v>
      </c>
      <c r="M8" s="13">
        <v>43344</v>
      </c>
      <c r="N8" s="13">
        <v>8668133</v>
      </c>
      <c r="O8" s="13">
        <v>153522</v>
      </c>
      <c r="P8" s="13">
        <v>2688147</v>
      </c>
      <c r="Q8" s="5">
        <f t="shared" si="3"/>
        <v>24.686210795448758</v>
      </c>
      <c r="R8" s="5">
        <f t="shared" si="4"/>
        <v>9592.1926197093981</v>
      </c>
      <c r="S8" s="5">
        <f t="shared" si="5"/>
        <v>122.92066327633152</v>
      </c>
      <c r="T8" s="5">
        <f t="shared" si="0"/>
        <v>7.1408800000000009E-4</v>
      </c>
      <c r="U8" s="5">
        <f t="shared" si="6"/>
        <v>512.94129863201613</v>
      </c>
      <c r="V8" s="5">
        <f t="shared" si="7"/>
        <v>3.0563997585845108E-2</v>
      </c>
      <c r="W8" s="5">
        <f t="shared" si="8"/>
        <v>5.8488979388471938</v>
      </c>
      <c r="X8" s="5">
        <f t="shared" si="9"/>
        <v>0.22228972746891792</v>
      </c>
      <c r="Y8" s="5">
        <f t="shared" si="10"/>
        <v>4.3118775704000002E-6</v>
      </c>
      <c r="Z8" s="5">
        <f t="shared" si="11"/>
        <v>0.33700243320123463</v>
      </c>
      <c r="AA8" s="5">
        <f t="shared" si="12"/>
        <v>1.4103972813763739E-3</v>
      </c>
      <c r="AB8" s="5">
        <f t="shared" si="13"/>
        <v>1.419644507716991E-2</v>
      </c>
      <c r="AC8" s="5">
        <f t="shared" si="14"/>
        <v>0.13253859057438808</v>
      </c>
      <c r="AD8" s="5">
        <f t="shared" si="15"/>
        <v>2.5031926387200004E-8</v>
      </c>
      <c r="AE8" s="5">
        <f t="shared" si="16"/>
        <v>1.2341367645086308E-2</v>
      </c>
      <c r="AF8" s="5">
        <f t="shared" si="17"/>
        <v>1.3542963188270857E-4</v>
      </c>
      <c r="AG8" s="5">
        <f t="shared" si="18"/>
        <v>2.470238362843493E-2</v>
      </c>
      <c r="AH8" s="5">
        <f t="shared" si="19"/>
        <v>1.5656083466097598E-3</v>
      </c>
      <c r="AI8" s="5">
        <f t="shared" si="20"/>
        <v>1.8280058738024741E-8</v>
      </c>
      <c r="AJ8" s="5">
        <f t="shared" si="21"/>
        <v>1.4780222985262082E-3</v>
      </c>
      <c r="AK8" s="5">
        <f t="shared" si="22"/>
        <v>2.8521108559242812E-2</v>
      </c>
      <c r="AL8" s="5">
        <f t="shared" si="23"/>
        <v>5.2022541547542183</v>
      </c>
      <c r="AM8" s="5">
        <f t="shared" si="24"/>
        <v>0.32971281834086424</v>
      </c>
      <c r="AN8" s="5">
        <f t="shared" si="25"/>
        <v>3.8497301697465971E-6</v>
      </c>
      <c r="AO8" s="5">
        <f t="shared" si="26"/>
        <v>0.31126743714223909</v>
      </c>
      <c r="AP8" s="5"/>
      <c r="AQ8" s="5"/>
      <c r="AR8" s="5"/>
      <c r="AS8" s="5"/>
      <c r="AT8" s="5"/>
      <c r="BF8" s="5"/>
    </row>
    <row r="9" spans="2:60" x14ac:dyDescent="0.25">
      <c r="B9" s="10" t="s">
        <v>92</v>
      </c>
      <c r="C9" s="14" t="s">
        <v>48</v>
      </c>
      <c r="D9" s="14"/>
      <c r="E9" s="14"/>
      <c r="F9" s="9">
        <v>0.40625</v>
      </c>
      <c r="G9" s="11">
        <v>9.9327000000000005</v>
      </c>
      <c r="H9" s="11">
        <v>18.785499999999999</v>
      </c>
      <c r="I9" s="11">
        <v>14.8217</v>
      </c>
      <c r="J9" s="11">
        <f t="shared" si="1"/>
        <v>3.9637999999999991</v>
      </c>
      <c r="K9" s="11">
        <f t="shared" si="2"/>
        <v>4.8889999999999993</v>
      </c>
      <c r="L9" s="10" t="s">
        <v>1</v>
      </c>
      <c r="M9" s="15" t="s">
        <v>1</v>
      </c>
      <c r="N9" s="15">
        <v>50314</v>
      </c>
      <c r="O9" s="15" t="s">
        <v>1</v>
      </c>
      <c r="P9" s="15">
        <v>7070</v>
      </c>
      <c r="Q9" s="14">
        <v>0</v>
      </c>
      <c r="R9" s="14">
        <v>0</v>
      </c>
      <c r="S9" s="14">
        <f t="shared" si="5"/>
        <v>-1.2321467160330197</v>
      </c>
      <c r="T9" s="14">
        <v>0</v>
      </c>
      <c r="U9" s="14">
        <f t="shared" si="6"/>
        <v>2.1237472849902832</v>
      </c>
      <c r="V9" s="14">
        <f t="shared" si="7"/>
        <v>0</v>
      </c>
      <c r="W9" s="14">
        <f t="shared" si="8"/>
        <v>0</v>
      </c>
      <c r="X9" s="14">
        <f t="shared" si="9"/>
        <v>-2.2282141212741128E-3</v>
      </c>
      <c r="Y9" s="14">
        <f t="shared" si="10"/>
        <v>0</v>
      </c>
      <c r="Z9" s="14">
        <f t="shared" si="11"/>
        <v>1.3953019662386161E-3</v>
      </c>
      <c r="AA9" s="14">
        <f t="shared" si="12"/>
        <v>0</v>
      </c>
      <c r="AB9" s="14">
        <f t="shared" si="13"/>
        <v>0</v>
      </c>
      <c r="AC9" s="14">
        <f t="shared" si="14"/>
        <v>-1.3285560358290232E-3</v>
      </c>
      <c r="AD9" s="14">
        <f t="shared" si="15"/>
        <v>0</v>
      </c>
      <c r="AE9" s="14">
        <f t="shared" si="16"/>
        <v>5.1097359676866214E-5</v>
      </c>
      <c r="AF9" s="14">
        <f t="shared" si="17"/>
        <v>0</v>
      </c>
      <c r="AG9" s="14">
        <f t="shared" si="18"/>
        <v>0</v>
      </c>
      <c r="AH9" s="14">
        <f t="shared" si="19"/>
        <v>-1.532750559307442E-5</v>
      </c>
      <c r="AI9" s="14">
        <f t="shared" si="20"/>
        <v>0</v>
      </c>
      <c r="AJ9" s="14">
        <f t="shared" si="21"/>
        <v>5.7805129252368229E-6</v>
      </c>
      <c r="AK9" s="14">
        <f t="shared" si="22"/>
        <v>0</v>
      </c>
      <c r="AL9" s="14">
        <f t="shared" si="23"/>
        <v>0</v>
      </c>
      <c r="AM9" s="14">
        <f t="shared" si="24"/>
        <v>-3.1351003463028068E-3</v>
      </c>
      <c r="AN9" s="14">
        <f t="shared" si="25"/>
        <v>0</v>
      </c>
      <c r="AO9" s="14">
        <f t="shared" si="26"/>
        <v>1.1823507721899823E-3</v>
      </c>
      <c r="AP9" s="14"/>
      <c r="AQ9" s="14"/>
      <c r="AR9" s="14"/>
      <c r="AS9" s="14"/>
      <c r="AT9" s="14"/>
      <c r="AU9" s="10">
        <f>AVERAGE(AK6:AK8)</f>
        <v>2.5163614489555758E-2</v>
      </c>
      <c r="AV9" s="10">
        <f t="shared" ref="AV9:AY9" si="27">AVERAGE(AL6:AL8)</f>
        <v>4.6142948994383808</v>
      </c>
      <c r="AW9" s="10">
        <f t="shared" si="27"/>
        <v>0.30122604130947073</v>
      </c>
      <c r="AX9" s="10">
        <f t="shared" si="27"/>
        <v>3.3067291689370348E-6</v>
      </c>
      <c r="AY9" s="10">
        <f t="shared" si="27"/>
        <v>0.28327821496112099</v>
      </c>
      <c r="BF9" s="14"/>
      <c r="BH9"/>
    </row>
    <row r="10" spans="2:60" x14ac:dyDescent="0.25">
      <c r="B10" s="10" t="s">
        <v>93</v>
      </c>
      <c r="C10" s="14" t="s">
        <v>49</v>
      </c>
      <c r="D10" s="14"/>
      <c r="E10" s="14"/>
      <c r="F10" s="9">
        <v>0.4069444444444445</v>
      </c>
      <c r="G10" s="11">
        <v>10.040699999999999</v>
      </c>
      <c r="H10" s="11">
        <v>19.107900000000001</v>
      </c>
      <c r="I10" s="11">
        <v>15.004099999999999</v>
      </c>
      <c r="J10" s="11">
        <f t="shared" si="1"/>
        <v>4.1038000000000014</v>
      </c>
      <c r="K10" s="11">
        <f t="shared" si="2"/>
        <v>4.9634</v>
      </c>
      <c r="L10" s="15" t="s">
        <v>1</v>
      </c>
      <c r="M10" s="15" t="s">
        <v>1</v>
      </c>
      <c r="N10" s="15">
        <v>32714</v>
      </c>
      <c r="O10" s="15" t="s">
        <v>1</v>
      </c>
      <c r="P10" s="15">
        <v>7669</v>
      </c>
      <c r="Q10" s="14">
        <v>0</v>
      </c>
      <c r="R10" s="14">
        <v>0</v>
      </c>
      <c r="S10" s="14">
        <f t="shared" si="5"/>
        <v>-1.4857015256508146</v>
      </c>
      <c r="T10" s="14">
        <v>0</v>
      </c>
      <c r="U10" s="14">
        <f t="shared" si="6"/>
        <v>2.23787295659795</v>
      </c>
      <c r="V10" s="14">
        <f t="shared" si="7"/>
        <v>0</v>
      </c>
      <c r="W10" s="14">
        <f t="shared" si="8"/>
        <v>0</v>
      </c>
      <c r="X10" s="14">
        <f t="shared" si="9"/>
        <v>-2.686742638986933E-3</v>
      </c>
      <c r="Y10" s="14">
        <f t="shared" si="10"/>
        <v>0</v>
      </c>
      <c r="Z10" s="14">
        <f t="shared" si="11"/>
        <v>1.4702825324848531E-3</v>
      </c>
      <c r="AA10" s="14">
        <f t="shared" si="12"/>
        <v>0</v>
      </c>
      <c r="AB10" s="14">
        <f t="shared" si="13"/>
        <v>0</v>
      </c>
      <c r="AC10" s="14">
        <f t="shared" si="14"/>
        <v>-1.6019502415253624E-3</v>
      </c>
      <c r="AD10" s="14">
        <f t="shared" si="15"/>
        <v>0</v>
      </c>
      <c r="AE10" s="14">
        <f t="shared" si="16"/>
        <v>5.3843223335746678E-5</v>
      </c>
      <c r="AF10" s="14">
        <f t="shared" si="17"/>
        <v>0</v>
      </c>
      <c r="AG10" s="14">
        <f t="shared" si="18"/>
        <v>0</v>
      </c>
      <c r="AH10" s="14">
        <f t="shared" si="19"/>
        <v>-1.8976974270661566E-5</v>
      </c>
      <c r="AI10" s="14">
        <f t="shared" si="20"/>
        <v>0</v>
      </c>
      <c r="AJ10" s="14">
        <f t="shared" si="21"/>
        <v>6.3009909115159871E-6</v>
      </c>
      <c r="AK10" s="14">
        <f t="shared" si="22"/>
        <v>0</v>
      </c>
      <c r="AL10" s="14">
        <f t="shared" si="23"/>
        <v>0</v>
      </c>
      <c r="AM10" s="14">
        <f t="shared" si="24"/>
        <v>-3.8233820104487982E-3</v>
      </c>
      <c r="AN10" s="14">
        <f t="shared" si="25"/>
        <v>0</v>
      </c>
      <c r="AO10" s="14">
        <f t="shared" si="26"/>
        <v>1.2694908553644651E-3</v>
      </c>
      <c r="AP10" s="14"/>
      <c r="AQ10" s="14"/>
      <c r="AR10" s="14"/>
      <c r="AS10" s="14"/>
      <c r="AT10" s="14"/>
      <c r="BF10" s="14"/>
      <c r="BH10"/>
    </row>
    <row r="11" spans="2:60" x14ac:dyDescent="0.25">
      <c r="B11" s="10" t="s">
        <v>94</v>
      </c>
      <c r="C11" s="14" t="s">
        <v>50</v>
      </c>
      <c r="D11" s="14"/>
      <c r="E11" s="14"/>
      <c r="F11" s="9">
        <v>0.40763888888888888</v>
      </c>
      <c r="G11" s="11">
        <v>9.9799000000000007</v>
      </c>
      <c r="H11" s="11">
        <v>18.821999999999999</v>
      </c>
      <c r="I11" s="11">
        <v>14.609299999999999</v>
      </c>
      <c r="J11" s="11">
        <f t="shared" si="1"/>
        <v>4.2126999999999999</v>
      </c>
      <c r="K11" s="11">
        <f t="shared" si="2"/>
        <v>4.6293999999999986</v>
      </c>
      <c r="L11" s="15" t="s">
        <v>1</v>
      </c>
      <c r="M11" s="15" t="s">
        <v>1</v>
      </c>
      <c r="N11" s="15">
        <v>31020</v>
      </c>
      <c r="O11" s="15" t="s">
        <v>1</v>
      </c>
      <c r="P11" s="15">
        <v>7074</v>
      </c>
      <c r="Q11" s="14">
        <v>0</v>
      </c>
      <c r="R11" s="14">
        <v>0</v>
      </c>
      <c r="S11" s="14">
        <f t="shared" si="5"/>
        <v>-1.5101061760765275</v>
      </c>
      <c r="T11" s="14">
        <v>0</v>
      </c>
      <c r="U11" s="14">
        <f t="shared" si="6"/>
        <v>2.1245093929809853</v>
      </c>
      <c r="V11" s="14">
        <f t="shared" si="7"/>
        <v>0</v>
      </c>
      <c r="W11" s="14">
        <f t="shared" si="8"/>
        <v>0</v>
      </c>
      <c r="X11" s="14">
        <f t="shared" si="9"/>
        <v>-2.7308760088167925E-3</v>
      </c>
      <c r="Y11" s="14">
        <f t="shared" si="10"/>
        <v>0</v>
      </c>
      <c r="Z11" s="14">
        <f t="shared" si="11"/>
        <v>1.3958026711885074E-3</v>
      </c>
      <c r="AA11" s="14">
        <f t="shared" si="12"/>
        <v>0</v>
      </c>
      <c r="AB11" s="14">
        <f t="shared" si="13"/>
        <v>0</v>
      </c>
      <c r="AC11" s="14">
        <f t="shared" si="14"/>
        <v>-1.6282644338236351E-3</v>
      </c>
      <c r="AD11" s="14">
        <f t="shared" si="15"/>
        <v>0</v>
      </c>
      <c r="AE11" s="14">
        <f t="shared" si="16"/>
        <v>5.1115695995122505E-5</v>
      </c>
      <c r="AF11" s="14">
        <f t="shared" si="17"/>
        <v>0</v>
      </c>
      <c r="AG11" s="14">
        <f t="shared" si="18"/>
        <v>0</v>
      </c>
      <c r="AH11" s="14">
        <f t="shared" si="19"/>
        <v>-1.9042248732285634E-5</v>
      </c>
      <c r="AI11" s="14">
        <f t="shared" si="20"/>
        <v>0</v>
      </c>
      <c r="AJ11" s="14">
        <f t="shared" si="21"/>
        <v>6.1167329159556449E-6</v>
      </c>
      <c r="AK11" s="14">
        <f t="shared" si="22"/>
        <v>0</v>
      </c>
      <c r="AL11" s="14">
        <f t="shared" si="23"/>
        <v>0</v>
      </c>
      <c r="AM11" s="14">
        <f t="shared" si="24"/>
        <v>-4.1133297473291662E-3</v>
      </c>
      <c r="AN11" s="14">
        <f t="shared" si="25"/>
        <v>0</v>
      </c>
      <c r="AO11" s="14">
        <f t="shared" si="26"/>
        <v>1.3212798453267479E-3</v>
      </c>
      <c r="AP11" s="14"/>
      <c r="AQ11" s="14"/>
      <c r="AR11" s="14"/>
      <c r="AS11" s="14"/>
      <c r="AT11" s="14"/>
      <c r="BF11" s="14"/>
      <c r="BH11"/>
    </row>
    <row r="12" spans="2:60" x14ac:dyDescent="0.25">
      <c r="B12" s="10" t="s">
        <v>95</v>
      </c>
      <c r="C12" s="14" t="s">
        <v>117</v>
      </c>
      <c r="D12" s="12">
        <f>E12*1440</f>
        <v>0</v>
      </c>
      <c r="E12" s="9">
        <f>F12-$F$3</f>
        <v>0</v>
      </c>
      <c r="F12" s="9">
        <v>0.41875000000000001</v>
      </c>
      <c r="G12" s="11">
        <v>9.8681999999999999</v>
      </c>
      <c r="H12" s="11">
        <v>18.918199999999999</v>
      </c>
      <c r="I12" s="11">
        <v>14.8056</v>
      </c>
      <c r="J12" s="11">
        <f t="shared" si="1"/>
        <v>4.1125999999999987</v>
      </c>
      <c r="K12" s="11">
        <f t="shared" si="2"/>
        <v>4.9374000000000002</v>
      </c>
      <c r="L12" s="15" t="s">
        <v>1</v>
      </c>
      <c r="M12" s="15" t="s">
        <v>1</v>
      </c>
      <c r="N12" s="15">
        <v>35759</v>
      </c>
      <c r="O12" s="15" t="s">
        <v>1</v>
      </c>
      <c r="P12" s="15">
        <v>6958</v>
      </c>
      <c r="Q12" s="14">
        <v>0</v>
      </c>
      <c r="R12" s="14">
        <v>0</v>
      </c>
      <c r="S12" s="14">
        <f t="shared" si="5"/>
        <v>-1.4418336622822814</v>
      </c>
      <c r="T12" s="14">
        <v>0</v>
      </c>
      <c r="U12" s="14">
        <f t="shared" si="6"/>
        <v>2.1024082612506194</v>
      </c>
      <c r="V12" s="14">
        <f t="shared" si="7"/>
        <v>0</v>
      </c>
      <c r="W12" s="14">
        <f t="shared" si="8"/>
        <v>0</v>
      </c>
      <c r="X12" s="14">
        <f t="shared" si="9"/>
        <v>-2.6074119948712774E-3</v>
      </c>
      <c r="Y12" s="14">
        <f t="shared" si="10"/>
        <v>0</v>
      </c>
      <c r="Z12" s="14">
        <f t="shared" si="11"/>
        <v>1.381282227641657E-3</v>
      </c>
      <c r="AA12" s="14">
        <f t="shared" si="12"/>
        <v>0</v>
      </c>
      <c r="AB12" s="14">
        <f t="shared" si="13"/>
        <v>0</v>
      </c>
      <c r="AC12" s="14">
        <f t="shared" si="14"/>
        <v>-1.5546499371875584E-3</v>
      </c>
      <c r="AD12" s="14">
        <f t="shared" si="15"/>
        <v>0</v>
      </c>
      <c r="AE12" s="14">
        <f t="shared" si="16"/>
        <v>5.0583942765689904E-5</v>
      </c>
      <c r="AF12" s="14">
        <f t="shared" si="17"/>
        <v>0</v>
      </c>
      <c r="AG12" s="14">
        <f t="shared" si="18"/>
        <v>0</v>
      </c>
      <c r="AH12" s="14">
        <f t="shared" si="19"/>
        <v>-1.8399171169977461E-5</v>
      </c>
      <c r="AI12" s="14">
        <f t="shared" si="20"/>
        <v>0</v>
      </c>
      <c r="AJ12" s="14">
        <f t="shared" si="21"/>
        <v>5.9304144484103941E-6</v>
      </c>
      <c r="AK12" s="14">
        <f t="shared" si="22"/>
        <v>0</v>
      </c>
      <c r="AL12" s="14">
        <f t="shared" si="23"/>
        <v>0</v>
      </c>
      <c r="AM12" s="14">
        <f t="shared" si="24"/>
        <v>-3.7264898873855595E-3</v>
      </c>
      <c r="AN12" s="14">
        <f t="shared" si="25"/>
        <v>0</v>
      </c>
      <c r="AO12" s="14">
        <f t="shared" si="26"/>
        <v>1.2011209236461283E-3</v>
      </c>
      <c r="AP12" s="14">
        <f t="shared" ref="AP12:AP13" si="28">AK12-(AVERAGE($AK$9:$AK$11))</f>
        <v>0</v>
      </c>
      <c r="AQ12" s="14">
        <f t="shared" ref="AQ12:AQ37" si="29">IF(AL12-(AVERAGE($AL$9:$AL$11))&lt;0,0,AL12-(AVERAGE($AL$9:$AL$11)))</f>
        <v>0</v>
      </c>
      <c r="AR12" s="14">
        <f t="shared" ref="AR12:AR13" si="30">IF(AM12-(AVERAGE($AM$9:$AM$11))&lt;0,0,AM12-(AVERAGE($AM$9:$AM$11)))</f>
        <v>0</v>
      </c>
      <c r="AS12" s="14">
        <f t="shared" ref="AS12:AS37" si="31">IF(AN12-(AVERAGE($AN$9:$AN$11))&lt;0,0,AN12-(AVERAGE($AN$9:$AN$11)))</f>
        <v>0</v>
      </c>
      <c r="AT12" s="14">
        <f>IF(AO12-(AVERAGE($AO$9:$AO$11))&lt;0,0,AO12-(AVERAGE($AO$9:$AO$11)))</f>
        <v>0</v>
      </c>
      <c r="AU12" s="10">
        <f>$AU$9+(($AU$20-$AU$9)/($D$20))*D12</f>
        <v>2.5163614489555758E-2</v>
      </c>
      <c r="AV12" s="10">
        <f>$AV$9+(($AV$20-$AV$9)/($D$20))*D12</f>
        <v>4.6142948994383808</v>
      </c>
      <c r="AW12" s="10">
        <f>$AW$9+(($AW$20-$AW$9)/($D$20))*D12</f>
        <v>0.30122604130947073</v>
      </c>
      <c r="AX12" s="10">
        <f>$AX$9+(($AX$20-$AX$9)/($D$20))*D12</f>
        <v>3.3067291689370348E-6</v>
      </c>
      <c r="AY12" s="10">
        <f>$AY$9+(($AY$20-$AY$9)/($D$20))*D12</f>
        <v>0.28327821496112099</v>
      </c>
      <c r="AZ12" s="10">
        <f t="shared" ref="AZ12:AZ15" si="32">AP12/AU12</f>
        <v>0</v>
      </c>
      <c r="BA12" s="10">
        <f t="shared" ref="BA12:BA16" si="33">AQ12/AV12</f>
        <v>0</v>
      </c>
      <c r="BB12" s="10">
        <f t="shared" ref="BB12:BB37" si="34">AR12/AW12</f>
        <v>0</v>
      </c>
      <c r="BC12" s="10">
        <f t="shared" ref="BC12" si="35">AS12/AX12</f>
        <v>0</v>
      </c>
      <c r="BD12" s="10">
        <f t="shared" ref="BD12:BD37" si="36">AT12/AY12</f>
        <v>0</v>
      </c>
      <c r="BG12" s="11">
        <v>0</v>
      </c>
      <c r="BH12">
        <v>0</v>
      </c>
    </row>
    <row r="13" spans="2:60" x14ac:dyDescent="0.25">
      <c r="B13" s="10" t="s">
        <v>96</v>
      </c>
      <c r="C13" s="14" t="s">
        <v>117</v>
      </c>
      <c r="D13" s="12">
        <f t="shared" ref="D13:D37" si="37">E13*1440</f>
        <v>19.999999999999929</v>
      </c>
      <c r="E13" s="9">
        <f t="shared" ref="E13:E16" si="38">F13-$F$3</f>
        <v>1.388888888888884E-2</v>
      </c>
      <c r="F13" s="9">
        <v>0.43263888888888885</v>
      </c>
      <c r="G13" s="11">
        <v>9.9920000000000009</v>
      </c>
      <c r="H13" s="11">
        <v>18.853200000000001</v>
      </c>
      <c r="I13" s="11">
        <v>15.308</v>
      </c>
      <c r="J13" s="11">
        <f t="shared" si="1"/>
        <v>3.5452000000000012</v>
      </c>
      <c r="K13" s="11">
        <f t="shared" si="2"/>
        <v>5.3159999999999989</v>
      </c>
      <c r="L13" s="15" t="s">
        <v>1</v>
      </c>
      <c r="M13" s="15" t="s">
        <v>1</v>
      </c>
      <c r="N13" s="15">
        <v>36692</v>
      </c>
      <c r="O13" s="15" t="s">
        <v>1</v>
      </c>
      <c r="P13" s="15">
        <v>7102</v>
      </c>
      <c r="Q13" s="14">
        <v>0</v>
      </c>
      <c r="R13" s="14">
        <v>0</v>
      </c>
      <c r="S13" s="14">
        <f t="shared" si="5"/>
        <v>-1.4283923760678836</v>
      </c>
      <c r="T13" s="14">
        <v>0</v>
      </c>
      <c r="U13" s="14">
        <f t="shared" si="6"/>
        <v>2.1298441489159012</v>
      </c>
      <c r="V13" s="14">
        <f t="shared" si="7"/>
        <v>0</v>
      </c>
      <c r="W13" s="14">
        <f t="shared" si="8"/>
        <v>0</v>
      </c>
      <c r="X13" s="14">
        <f t="shared" si="9"/>
        <v>-2.5831047728811607E-3</v>
      </c>
      <c r="Y13" s="14">
        <f t="shared" si="10"/>
        <v>0</v>
      </c>
      <c r="Z13" s="14">
        <f t="shared" si="11"/>
        <v>1.3993076058377474E-3</v>
      </c>
      <c r="AA13" s="14">
        <f t="shared" si="12"/>
        <v>0</v>
      </c>
      <c r="AB13" s="14">
        <f t="shared" si="13"/>
        <v>0</v>
      </c>
      <c r="AC13" s="14">
        <f t="shared" si="14"/>
        <v>-1.5401569375333153E-3</v>
      </c>
      <c r="AD13" s="14">
        <f t="shared" si="15"/>
        <v>0</v>
      </c>
      <c r="AE13" s="14">
        <f t="shared" si="16"/>
        <v>5.1244050222916577E-5</v>
      </c>
      <c r="AF13" s="14">
        <f t="shared" si="17"/>
        <v>0</v>
      </c>
      <c r="AG13" s="14">
        <f t="shared" si="18"/>
        <v>0</v>
      </c>
      <c r="AH13" s="14">
        <f t="shared" si="19"/>
        <v>-1.7345097320745396E-5</v>
      </c>
      <c r="AI13" s="14">
        <f t="shared" si="20"/>
        <v>0</v>
      </c>
      <c r="AJ13" s="14">
        <f t="shared" si="21"/>
        <v>5.233238695201009E-6</v>
      </c>
      <c r="AK13" s="14">
        <f t="shared" si="22"/>
        <v>0</v>
      </c>
      <c r="AL13" s="14">
        <f t="shared" si="23"/>
        <v>0</v>
      </c>
      <c r="AM13" s="14">
        <f t="shared" si="24"/>
        <v>-3.2628098797489462E-3</v>
      </c>
      <c r="AN13" s="14">
        <f t="shared" si="25"/>
        <v>0</v>
      </c>
      <c r="AO13" s="14">
        <f t="shared" si="26"/>
        <v>9.8443165823946751E-4</v>
      </c>
      <c r="AP13" s="14">
        <f t="shared" si="28"/>
        <v>0</v>
      </c>
      <c r="AQ13" s="14">
        <f t="shared" si="29"/>
        <v>0</v>
      </c>
      <c r="AR13" s="14">
        <f t="shared" si="30"/>
        <v>4.2779415494464436E-4</v>
      </c>
      <c r="AS13" s="14">
        <f t="shared" si="31"/>
        <v>0</v>
      </c>
      <c r="AT13" s="14">
        <f t="shared" ref="AT13:AT19" si="39">IF(AO13-(AVERAGE($AO$9:$AO$11))&lt;0,0,AO13-(AVERAGE($AO$9:$AO$11)))</f>
        <v>0</v>
      </c>
      <c r="AU13" s="10">
        <f t="shared" ref="AU13:AU19" si="40">$AU$9+(($AU$20-$AU$9)/($D$20))*D13</f>
        <v>2.5517616040653349E-2</v>
      </c>
      <c r="AV13" s="10">
        <f t="shared" ref="AV13:AV19" si="41">$AV$9+(($AV$20-$AV$9)/($D$20))*D13</f>
        <v>4.5893427147949062</v>
      </c>
      <c r="AW13" s="10">
        <f t="shared" ref="AW13:AW19" si="42">$AW$9+(($AW$20-$AW$9)/($D$20))*D13</f>
        <v>0.30494948870905658</v>
      </c>
      <c r="AX13" s="10">
        <f t="shared" ref="AX13:AX19" si="43">$AX$9+(($AX$20-$AX$9)/($D$20))*D13</f>
        <v>3.4163522783863147E-6</v>
      </c>
      <c r="AY13" s="10">
        <f t="shared" ref="AY13:AY19" si="44">$AY$9+(($AY$20-$AY$9)/($D$20))*D13</f>
        <v>0.28691476678017491</v>
      </c>
      <c r="AZ13" s="10">
        <f t="shared" si="32"/>
        <v>0</v>
      </c>
      <c r="BA13" s="10">
        <f t="shared" si="33"/>
        <v>0</v>
      </c>
      <c r="BB13" s="10">
        <f t="shared" si="34"/>
        <v>1.4028361115003879E-3</v>
      </c>
      <c r="BC13" s="10">
        <f t="shared" ref="BC13:BC28" si="45">AS13/AX13</f>
        <v>0</v>
      </c>
      <c r="BD13" s="10">
        <f t="shared" si="36"/>
        <v>0</v>
      </c>
      <c r="BF13" s="14"/>
      <c r="BG13" s="12">
        <v>10</v>
      </c>
      <c r="BH13">
        <v>0</v>
      </c>
    </row>
    <row r="14" spans="2:60" x14ac:dyDescent="0.25">
      <c r="B14" s="10" t="s">
        <v>97</v>
      </c>
      <c r="C14" s="14" t="s">
        <v>117</v>
      </c>
      <c r="D14" s="12">
        <f t="shared" si="37"/>
        <v>40.999999999999936</v>
      </c>
      <c r="E14" s="9">
        <f t="shared" si="38"/>
        <v>2.8472222222222177E-2</v>
      </c>
      <c r="F14" s="9">
        <v>0.44722222222222219</v>
      </c>
      <c r="G14" s="11">
        <v>9.9016000000000002</v>
      </c>
      <c r="H14" s="11">
        <v>18.707699999999999</v>
      </c>
      <c r="I14" s="11">
        <v>14.176</v>
      </c>
      <c r="J14" s="11">
        <f t="shared" si="1"/>
        <v>4.531699999999999</v>
      </c>
      <c r="K14" s="11">
        <f t="shared" si="2"/>
        <v>4.2744</v>
      </c>
      <c r="L14" s="15" t="s">
        <v>1</v>
      </c>
      <c r="M14" s="15" t="s">
        <v>1</v>
      </c>
      <c r="N14" s="15">
        <v>703299</v>
      </c>
      <c r="O14" s="15">
        <v>6120</v>
      </c>
      <c r="P14" s="15">
        <v>103790</v>
      </c>
      <c r="Q14" s="14">
        <v>0</v>
      </c>
      <c r="R14" s="14">
        <v>0</v>
      </c>
      <c r="S14" s="14">
        <f t="shared" si="5"/>
        <v>8.1750968838690152</v>
      </c>
      <c r="T14" s="14">
        <v>0</v>
      </c>
      <c r="U14" s="14">
        <f t="shared" si="6"/>
        <v>20.551518500171472</v>
      </c>
      <c r="V14" s="14">
        <f t="shared" si="7"/>
        <v>0</v>
      </c>
      <c r="W14" s="14">
        <f t="shared" si="8"/>
        <v>0</v>
      </c>
      <c r="X14" s="14">
        <f t="shared" si="9"/>
        <v>1.4783845204788728E-2</v>
      </c>
      <c r="Y14" s="14">
        <f t="shared" si="10"/>
        <v>0</v>
      </c>
      <c r="Z14" s="14">
        <f t="shared" si="11"/>
        <v>1.3502347654612657E-2</v>
      </c>
      <c r="AA14" s="14">
        <f t="shared" si="12"/>
        <v>0</v>
      </c>
      <c r="AB14" s="14">
        <f t="shared" si="13"/>
        <v>0</v>
      </c>
      <c r="AC14" s="14">
        <f t="shared" si="14"/>
        <v>8.8147573395473463E-3</v>
      </c>
      <c r="AD14" s="14">
        <f t="shared" si="15"/>
        <v>0</v>
      </c>
      <c r="AE14" s="14">
        <f t="shared" si="16"/>
        <v>4.9446953511412563E-4</v>
      </c>
      <c r="AF14" s="14">
        <f t="shared" si="17"/>
        <v>0</v>
      </c>
      <c r="AG14" s="14">
        <f t="shared" si="18"/>
        <v>0</v>
      </c>
      <c r="AH14" s="14">
        <f t="shared" si="19"/>
        <v>1.0467375008670223E-4</v>
      </c>
      <c r="AI14" s="14">
        <f t="shared" si="20"/>
        <v>0</v>
      </c>
      <c r="AJ14" s="14">
        <f t="shared" si="21"/>
        <v>6.3302149447299979E-5</v>
      </c>
      <c r="AK14" s="14">
        <f t="shared" si="22"/>
        <v>0</v>
      </c>
      <c r="AL14" s="14">
        <f t="shared" si="23"/>
        <v>0</v>
      </c>
      <c r="AM14" s="14">
        <f t="shared" si="24"/>
        <v>2.4488524725505854E-2</v>
      </c>
      <c r="AN14" s="14">
        <f t="shared" si="25"/>
        <v>0</v>
      </c>
      <c r="AO14" s="14">
        <f t="shared" si="26"/>
        <v>1.480959887874321E-2</v>
      </c>
      <c r="AP14" s="14">
        <f>AK14-(AVERAGE($AK$9:$AK$11))</f>
        <v>0</v>
      </c>
      <c r="AQ14" s="14">
        <f>IF(AL14-(AVERAGE($AL$9:$AL$11))&lt;0,0,AL14-(AVERAGE($AL$9:$AL$11)))</f>
        <v>0</v>
      </c>
      <c r="AR14" s="14">
        <f>IF(AM14-(AVERAGE($AM$9:$AM$11))&lt;0,0,AM14-(AVERAGE($AM$9:$AM$11)))</f>
        <v>2.8179128760199446E-2</v>
      </c>
      <c r="AS14" s="14">
        <f>IF(AN14-(AVERAGE($AN$9:$AN$11))&lt;0,0,AN14-(AVERAGE($AN$9:$AN$11)))</f>
        <v>0</v>
      </c>
      <c r="AT14" s="14">
        <f t="shared" si="39"/>
        <v>1.3551891721116146E-2</v>
      </c>
      <c r="AU14" s="10">
        <f t="shared" si="40"/>
        <v>2.5889317669305821E-2</v>
      </c>
      <c r="AV14" s="10">
        <f t="shared" si="41"/>
        <v>4.5631429209192573</v>
      </c>
      <c r="AW14" s="10">
        <f t="shared" si="42"/>
        <v>0.30885910847862169</v>
      </c>
      <c r="AX14" s="10">
        <f t="shared" si="43"/>
        <v>3.5314565433080587E-6</v>
      </c>
      <c r="AY14" s="10">
        <f t="shared" si="44"/>
        <v>0.29073314619018154</v>
      </c>
      <c r="AZ14" s="10">
        <f t="shared" si="32"/>
        <v>0</v>
      </c>
      <c r="BA14" s="10">
        <f t="shared" si="33"/>
        <v>0</v>
      </c>
      <c r="BB14" s="10">
        <f t="shared" si="34"/>
        <v>9.1236191475796868E-2</v>
      </c>
      <c r="BC14" s="10">
        <f t="shared" si="45"/>
        <v>0</v>
      </c>
      <c r="BD14" s="10">
        <f t="shared" si="36"/>
        <v>4.6612819689473069E-2</v>
      </c>
      <c r="BG14" s="11">
        <v>19.999999999999929</v>
      </c>
      <c r="BH14">
        <v>0</v>
      </c>
    </row>
    <row r="15" spans="2:60" x14ac:dyDescent="0.25">
      <c r="B15" s="10" t="s">
        <v>98</v>
      </c>
      <c r="C15" s="14" t="s">
        <v>117</v>
      </c>
      <c r="D15" s="12">
        <f t="shared" si="37"/>
        <v>60.999999999999943</v>
      </c>
      <c r="E15" s="9">
        <f t="shared" si="38"/>
        <v>4.2361111111111072E-2</v>
      </c>
      <c r="F15" s="9">
        <v>0.46111111111111108</v>
      </c>
      <c r="G15" s="11">
        <v>10.0665</v>
      </c>
      <c r="H15" s="11">
        <v>18.905899999999999</v>
      </c>
      <c r="I15" s="11">
        <v>14.7296</v>
      </c>
      <c r="J15" s="11">
        <f t="shared" si="1"/>
        <v>4.1762999999999995</v>
      </c>
      <c r="K15" s="11">
        <f t="shared" si="2"/>
        <v>4.6631</v>
      </c>
      <c r="L15" s="15">
        <v>30237</v>
      </c>
      <c r="M15" s="15">
        <v>2934</v>
      </c>
      <c r="N15" s="15">
        <v>3089579</v>
      </c>
      <c r="O15" s="15">
        <v>41577</v>
      </c>
      <c r="P15" s="15">
        <v>619595</v>
      </c>
      <c r="Q15" s="14">
        <v>0</v>
      </c>
      <c r="R15" s="14">
        <f t="shared" si="4"/>
        <v>460.60832033986395</v>
      </c>
      <c r="S15" s="14">
        <f t="shared" si="5"/>
        <v>42.553095241525362</v>
      </c>
      <c r="T15" s="14">
        <f t="shared" si="0"/>
        <v>2.6630800000000004E-4</v>
      </c>
      <c r="U15" s="14">
        <f t="shared" si="6"/>
        <v>118.82629653621916</v>
      </c>
      <c r="V15" s="14">
        <f t="shared" si="7"/>
        <v>0</v>
      </c>
      <c r="W15" s="14">
        <f t="shared" si="8"/>
        <v>0.28085873191455119</v>
      </c>
      <c r="X15" s="14">
        <f t="shared" si="9"/>
        <v>7.6953017434774465E-2</v>
      </c>
      <c r="Y15" s="14">
        <f t="shared" si="10"/>
        <v>1.6080475964000003E-6</v>
      </c>
      <c r="Z15" s="14">
        <f t="shared" si="11"/>
        <v>7.8068876824296002E-2</v>
      </c>
      <c r="AA15" s="14">
        <f t="shared" si="12"/>
        <v>0</v>
      </c>
      <c r="AB15" s="14">
        <f t="shared" si="13"/>
        <v>6.8170031410299864E-4</v>
      </c>
      <c r="AC15" s="14">
        <f t="shared" si="14"/>
        <v>4.5882662178698519E-2</v>
      </c>
      <c r="AD15" s="14">
        <f t="shared" si="15"/>
        <v>9.3352671552000003E-9</v>
      </c>
      <c r="AE15" s="14">
        <f t="shared" si="16"/>
        <v>2.8589606946614328E-3</v>
      </c>
      <c r="AF15" s="14">
        <f t="shared" si="17"/>
        <v>0</v>
      </c>
      <c r="AG15" s="14">
        <f t="shared" si="18"/>
        <v>1.1761291588294335E-3</v>
      </c>
      <c r="AH15" s="14">
        <f t="shared" si="19"/>
        <v>5.3533432871833765E-4</v>
      </c>
      <c r="AI15" s="14">
        <f t="shared" si="20"/>
        <v>6.7592204611167337E-9</v>
      </c>
      <c r="AJ15" s="14">
        <f t="shared" si="21"/>
        <v>3.3937066989658311E-4</v>
      </c>
      <c r="AK15" s="14">
        <f t="shared" si="22"/>
        <v>0</v>
      </c>
      <c r="AL15" s="14">
        <f t="shared" si="23"/>
        <v>0.25222044537527255</v>
      </c>
      <c r="AM15" s="14">
        <f t="shared" si="24"/>
        <v>0.11480224072362541</v>
      </c>
      <c r="AN15" s="14">
        <f t="shared" si="25"/>
        <v>1.449512226012038E-6</v>
      </c>
      <c r="AO15" s="14">
        <f t="shared" si="26"/>
        <v>7.2777909522974665E-2</v>
      </c>
      <c r="AP15" s="14">
        <f t="shared" ref="AP15:AP37" si="46">AK15-(AVERAGE($AK$11:$AK$13))</f>
        <v>0</v>
      </c>
      <c r="AQ15" s="14">
        <f t="shared" si="29"/>
        <v>0.25222044537527255</v>
      </c>
      <c r="AR15" s="14">
        <f t="shared" ref="AR15:AR37" si="47">IF(AM15-(AVERAGE($AM$9:$AM$11))&lt;0,0,AM15-(AVERAGE($AM$9:$AM$11)))</f>
        <v>0.118492844758319</v>
      </c>
      <c r="AS15" s="14">
        <f t="shared" si="31"/>
        <v>1.449512226012038E-6</v>
      </c>
      <c r="AT15" s="14">
        <f t="shared" si="39"/>
        <v>7.1520202365347604E-2</v>
      </c>
      <c r="AU15" s="10">
        <f t="shared" si="40"/>
        <v>2.6243319220403412E-2</v>
      </c>
      <c r="AV15" s="10">
        <f t="shared" si="41"/>
        <v>4.5381907362757818</v>
      </c>
      <c r="AW15" s="10">
        <f t="shared" si="42"/>
        <v>0.31258255587820755</v>
      </c>
      <c r="AX15" s="10">
        <f t="shared" si="43"/>
        <v>3.641079652757339E-6</v>
      </c>
      <c r="AY15" s="10">
        <f t="shared" si="44"/>
        <v>0.29436969800923551</v>
      </c>
      <c r="AZ15" s="10">
        <f t="shared" si="32"/>
        <v>0</v>
      </c>
      <c r="BA15" s="10">
        <f t="shared" si="33"/>
        <v>5.5577312641172633E-2</v>
      </c>
      <c r="BB15" s="10">
        <f t="shared" si="34"/>
        <v>0.3790769591265602</v>
      </c>
      <c r="BC15" s="10">
        <f t="shared" si="45"/>
        <v>0.39809956503267996</v>
      </c>
      <c r="BD15" s="10">
        <f t="shared" si="36"/>
        <v>0.24296047741674737</v>
      </c>
      <c r="BF15" s="14"/>
      <c r="BG15" s="12">
        <v>31</v>
      </c>
      <c r="BH15">
        <v>0</v>
      </c>
    </row>
    <row r="16" spans="2:60" x14ac:dyDescent="0.25">
      <c r="B16" s="10" t="s">
        <v>99</v>
      </c>
      <c r="C16" s="14" t="s">
        <v>117</v>
      </c>
      <c r="D16" s="12">
        <f t="shared" si="37"/>
        <v>79.999999999999957</v>
      </c>
      <c r="E16" s="9">
        <f t="shared" si="38"/>
        <v>5.5555555555555525E-2</v>
      </c>
      <c r="F16" s="9">
        <v>0.47430555555555554</v>
      </c>
      <c r="G16" s="11">
        <v>9.9428999999999998</v>
      </c>
      <c r="H16" s="11">
        <v>18.822800000000001</v>
      </c>
      <c r="I16" s="11">
        <v>14.491899999999999</v>
      </c>
      <c r="J16" s="11">
        <f t="shared" si="1"/>
        <v>4.3309000000000015</v>
      </c>
      <c r="K16" s="11">
        <f t="shared" si="2"/>
        <v>4.5489999999999995</v>
      </c>
      <c r="L16" s="15">
        <v>55156</v>
      </c>
      <c r="M16" s="15">
        <v>4500</v>
      </c>
      <c r="N16" s="15">
        <v>4481906</v>
      </c>
      <c r="O16" s="15">
        <v>60500</v>
      </c>
      <c r="P16" s="15">
        <v>941417</v>
      </c>
      <c r="Q16" s="14">
        <f t="shared" si="3"/>
        <v>9.8079881023927626</v>
      </c>
      <c r="R16" s="14">
        <f t="shared" si="4"/>
        <v>814.4826339457212</v>
      </c>
      <c r="S16" s="14">
        <f t="shared" si="5"/>
        <v>62.611686571679655</v>
      </c>
      <c r="T16" s="14">
        <f t="shared" si="0"/>
        <v>3.4200000000000002E-4</v>
      </c>
      <c r="U16" s="14">
        <f t="shared" si="6"/>
        <v>180.14207598216666</v>
      </c>
      <c r="V16" s="14">
        <f t="shared" si="7"/>
        <v>1.2143270069572479E-2</v>
      </c>
      <c r="W16" s="14">
        <f t="shared" si="8"/>
        <v>0.49663575240592756</v>
      </c>
      <c r="X16" s="14">
        <f t="shared" si="9"/>
        <v>0.1132269739962255</v>
      </c>
      <c r="Y16" s="14">
        <f t="shared" si="10"/>
        <v>2.0650985999999999E-6</v>
      </c>
      <c r="Z16" s="14">
        <f t="shared" si="11"/>
        <v>0.11835334392028352</v>
      </c>
      <c r="AA16" s="14">
        <f t="shared" si="12"/>
        <v>5.6035978425400578E-4</v>
      </c>
      <c r="AB16" s="14">
        <f t="shared" si="13"/>
        <v>1.2054342982396674E-3</v>
      </c>
      <c r="AC16" s="14">
        <f t="shared" si="14"/>
        <v>6.7510737987480723E-2</v>
      </c>
      <c r="AD16" s="14">
        <f t="shared" si="15"/>
        <v>1.19886048E-8</v>
      </c>
      <c r="AE16" s="14">
        <f t="shared" si="16"/>
        <v>4.3342183481309303E-3</v>
      </c>
      <c r="AF16" s="14">
        <f t="shared" si="17"/>
        <v>5.5140365002882937E-5</v>
      </c>
      <c r="AG16" s="14">
        <f t="shared" si="18"/>
        <v>2.1563633007175248E-3</v>
      </c>
      <c r="AH16" s="14">
        <f t="shared" si="19"/>
        <v>7.97481048785303E-4</v>
      </c>
      <c r="AI16" s="14">
        <f t="shared" si="20"/>
        <v>8.9982716899752024E-9</v>
      </c>
      <c r="AJ16" s="14">
        <f t="shared" si="21"/>
        <v>5.3229285645000365E-4</v>
      </c>
      <c r="AK16" s="14">
        <f t="shared" si="22"/>
        <v>1.2121425588675081E-2</v>
      </c>
      <c r="AL16" s="14">
        <f t="shared" si="23"/>
        <v>0.47403018261541546</v>
      </c>
      <c r="AM16" s="14">
        <f t="shared" si="24"/>
        <v>0.17530908964284528</v>
      </c>
      <c r="AN16" s="14">
        <f t="shared" si="25"/>
        <v>1.978076871834514E-6</v>
      </c>
      <c r="AO16" s="14">
        <f t="shared" si="26"/>
        <v>0.11701315815563942</v>
      </c>
      <c r="AP16" s="14">
        <f t="shared" si="46"/>
        <v>1.2121425588675081E-2</v>
      </c>
      <c r="AQ16" s="14">
        <f t="shared" si="29"/>
        <v>0.47403018261541546</v>
      </c>
      <c r="AR16" s="14">
        <f t="shared" si="47"/>
        <v>0.17899969367753887</v>
      </c>
      <c r="AS16" s="14">
        <f t="shared" si="31"/>
        <v>1.978076871834514E-6</v>
      </c>
      <c r="AT16" s="14">
        <f t="shared" si="39"/>
        <v>0.11575545099801236</v>
      </c>
      <c r="AU16" s="10">
        <f t="shared" si="40"/>
        <v>2.6579620693946125E-2</v>
      </c>
      <c r="AV16" s="10">
        <f t="shared" si="41"/>
        <v>4.5144861608644806</v>
      </c>
      <c r="AW16" s="10">
        <f t="shared" si="42"/>
        <v>0.31611983090781409</v>
      </c>
      <c r="AX16" s="10">
        <f t="shared" si="43"/>
        <v>3.7452216067341552E-6</v>
      </c>
      <c r="AY16" s="10">
        <f t="shared" si="44"/>
        <v>0.29782442223733674</v>
      </c>
      <c r="AZ16" s="10">
        <f>AP16/AU16</f>
        <v>0.45604208307742716</v>
      </c>
      <c r="BA16" s="10">
        <f t="shared" si="33"/>
        <v>0.10500202364661657</v>
      </c>
      <c r="BB16" s="10">
        <f t="shared" si="34"/>
        <v>0.56624000197487834</v>
      </c>
      <c r="BC16" s="10">
        <f t="shared" si="45"/>
        <v>0.52816016768615281</v>
      </c>
      <c r="BD16" s="10">
        <f t="shared" si="36"/>
        <v>0.38867011015559588</v>
      </c>
      <c r="BG16" s="11">
        <v>40.999999999999936</v>
      </c>
      <c r="BH16">
        <v>0.18523913155234165</v>
      </c>
    </row>
    <row r="17" spans="2:60" x14ac:dyDescent="0.25">
      <c r="B17" s="10" t="s">
        <v>100</v>
      </c>
      <c r="C17" s="14" t="s">
        <v>117</v>
      </c>
      <c r="D17" s="12">
        <f t="shared" si="37"/>
        <v>99.999999999999972</v>
      </c>
      <c r="E17" s="9">
        <f>F17-$F$3</f>
        <v>6.944444444444442E-2</v>
      </c>
      <c r="F17" s="9">
        <v>0.48819444444444443</v>
      </c>
      <c r="G17" s="11">
        <v>10.0244</v>
      </c>
      <c r="H17" s="11">
        <v>18.788599999999999</v>
      </c>
      <c r="I17" s="11">
        <v>14.833399999999999</v>
      </c>
      <c r="J17" s="11">
        <f t="shared" si="1"/>
        <v>3.9551999999999996</v>
      </c>
      <c r="K17" s="11">
        <f t="shared" si="2"/>
        <v>4.8089999999999993</v>
      </c>
      <c r="L17" s="15">
        <v>82252</v>
      </c>
      <c r="M17" s="15">
        <v>7500</v>
      </c>
      <c r="N17" s="15">
        <v>5864089</v>
      </c>
      <c r="O17" s="15">
        <v>88718</v>
      </c>
      <c r="P17" s="15">
        <v>1411575</v>
      </c>
      <c r="Q17" s="14">
        <f t="shared" si="3"/>
        <v>12.568070000305589</v>
      </c>
      <c r="R17" s="14">
        <f t="shared" si="4"/>
        <v>1492.4027749531106</v>
      </c>
      <c r="S17" s="14">
        <f t="shared" si="5"/>
        <v>82.524138129745154</v>
      </c>
      <c r="T17" s="14">
        <f t="shared" si="0"/>
        <v>4.5487199999999999E-4</v>
      </c>
      <c r="U17" s="14">
        <f t="shared" si="6"/>
        <v>269.71986815531756</v>
      </c>
      <c r="V17" s="14">
        <f t="shared" si="7"/>
        <v>1.5560527467378351E-2</v>
      </c>
      <c r="W17" s="14">
        <f t="shared" si="8"/>
        <v>0.91000169204457959</v>
      </c>
      <c r="X17" s="14">
        <f t="shared" si="9"/>
        <v>0.14923665139383113</v>
      </c>
      <c r="Y17" s="14">
        <f t="shared" si="10"/>
        <v>2.7466535975999996E-6</v>
      </c>
      <c r="Z17" s="14">
        <f t="shared" si="11"/>
        <v>0.17720595337804368</v>
      </c>
      <c r="AA17" s="14">
        <f t="shared" si="12"/>
        <v>7.1805154332745924E-4</v>
      </c>
      <c r="AB17" s="14">
        <f t="shared" si="13"/>
        <v>2.2087561069306033E-3</v>
      </c>
      <c r="AC17" s="14">
        <f t="shared" si="14"/>
        <v>8.8981239317707059E-2</v>
      </c>
      <c r="AD17" s="14">
        <f t="shared" si="15"/>
        <v>1.5945265036799998E-8</v>
      </c>
      <c r="AE17" s="14">
        <f t="shared" si="16"/>
        <v>6.4894600278169404E-3</v>
      </c>
      <c r="AF17" s="14">
        <f t="shared" si="17"/>
        <v>6.4998108110836598E-5</v>
      </c>
      <c r="AG17" s="14">
        <f t="shared" si="18"/>
        <v>3.60986060049295E-3</v>
      </c>
      <c r="AH17" s="14">
        <f t="shared" si="19"/>
        <v>1.018171583471734E-3</v>
      </c>
      <c r="AI17" s="14">
        <f t="shared" si="20"/>
        <v>1.0940245088789489E-8</v>
      </c>
      <c r="AJ17" s="14">
        <f t="shared" si="21"/>
        <v>7.3209280007461002E-4</v>
      </c>
      <c r="AK17" s="14">
        <f t="shared" si="22"/>
        <v>1.3515930154052112E-2</v>
      </c>
      <c r="AL17" s="14">
        <f t="shared" si="23"/>
        <v>0.75064682896505519</v>
      </c>
      <c r="AM17" s="14">
        <f t="shared" si="24"/>
        <v>0.21172210095066213</v>
      </c>
      <c r="AN17" s="14">
        <f t="shared" si="25"/>
        <v>2.2749521914721338E-6</v>
      </c>
      <c r="AO17" s="14">
        <f t="shared" si="26"/>
        <v>0.15223389479613436</v>
      </c>
      <c r="AP17" s="14">
        <f t="shared" si="46"/>
        <v>1.3515930154052112E-2</v>
      </c>
      <c r="AQ17" s="14">
        <f t="shared" si="29"/>
        <v>0.75064682896505519</v>
      </c>
      <c r="AR17" s="14">
        <f t="shared" si="47"/>
        <v>0.21541270498535572</v>
      </c>
      <c r="AS17" s="14">
        <f t="shared" si="31"/>
        <v>2.2749521914721338E-6</v>
      </c>
      <c r="AT17" s="14">
        <f t="shared" si="39"/>
        <v>0.15097618763850729</v>
      </c>
      <c r="AU17" s="10">
        <f t="shared" si="40"/>
        <v>2.6933622245043715E-2</v>
      </c>
      <c r="AV17" s="10">
        <f t="shared" si="41"/>
        <v>4.489533976221006</v>
      </c>
      <c r="AW17" s="10">
        <f t="shared" si="42"/>
        <v>0.31984327830739995</v>
      </c>
      <c r="AX17" s="10">
        <f t="shared" si="43"/>
        <v>3.8548447161834359E-6</v>
      </c>
      <c r="AY17" s="10">
        <f t="shared" si="44"/>
        <v>0.30146097405639072</v>
      </c>
      <c r="AZ17" s="10">
        <f t="shared" ref="AZ17:AZ37" si="48">AP17/AU17</f>
        <v>0.50182370685544508</v>
      </c>
      <c r="BA17" s="10">
        <f t="shared" ref="BA17:BA37" si="49">AQ17/AV17</f>
        <v>0.16719927568003401</v>
      </c>
      <c r="BB17" s="10">
        <f t="shared" si="34"/>
        <v>0.6734945505977572</v>
      </c>
      <c r="BC17" s="10">
        <f t="shared" si="45"/>
        <v>0.59015404224232781</v>
      </c>
      <c r="BD17" s="10">
        <f t="shared" si="36"/>
        <v>0.50081503289465912</v>
      </c>
      <c r="BF17" s="14"/>
      <c r="BG17" s="12">
        <v>51</v>
      </c>
      <c r="BH17">
        <v>0.31401545658618507</v>
      </c>
    </row>
    <row r="18" spans="2:60" x14ac:dyDescent="0.25">
      <c r="B18" s="10" t="s">
        <v>101</v>
      </c>
      <c r="C18" s="14" t="s">
        <v>117</v>
      </c>
      <c r="D18" s="12">
        <f t="shared" si="37"/>
        <v>119.99999999999997</v>
      </c>
      <c r="E18" s="9">
        <f t="shared" ref="E18:E27" si="50">F18-$F$3</f>
        <v>8.3333333333333315E-2</v>
      </c>
      <c r="F18" s="9">
        <v>0.50208333333333333</v>
      </c>
      <c r="G18" s="11">
        <v>10.047000000000001</v>
      </c>
      <c r="H18" s="11">
        <v>19.1418</v>
      </c>
      <c r="I18" s="11">
        <v>14.8865</v>
      </c>
      <c r="J18" s="11">
        <f t="shared" si="1"/>
        <v>4.2553000000000001</v>
      </c>
      <c r="K18" s="11">
        <f t="shared" si="2"/>
        <v>4.8394999999999992</v>
      </c>
      <c r="L18" s="15">
        <v>94076</v>
      </c>
      <c r="M18" s="15">
        <v>9276</v>
      </c>
      <c r="N18" s="15">
        <v>6320962</v>
      </c>
      <c r="O18" s="15">
        <v>92888</v>
      </c>
      <c r="P18" s="15">
        <v>1530995</v>
      </c>
      <c r="Q18" s="14">
        <f t="shared" si="3"/>
        <v>13.772499006835012</v>
      </c>
      <c r="R18" s="14">
        <f t="shared" si="4"/>
        <v>1893.7314984294849</v>
      </c>
      <c r="S18" s="14">
        <f t="shared" si="5"/>
        <v>89.106089637387811</v>
      </c>
      <c r="T18" s="14">
        <f t="shared" si="0"/>
        <v>4.7155200000000003E-4</v>
      </c>
      <c r="U18" s="14">
        <f t="shared" si="6"/>
        <v>292.47260221773422</v>
      </c>
      <c r="V18" s="14">
        <f t="shared" si="7"/>
        <v>1.7051731020362428E-2</v>
      </c>
      <c r="W18" s="14">
        <f t="shared" si="8"/>
        <v>1.1547143283106616</v>
      </c>
      <c r="X18" s="14">
        <f t="shared" si="9"/>
        <v>0.16113945250025211</v>
      </c>
      <c r="Y18" s="14">
        <f t="shared" si="10"/>
        <v>2.8473724415999999E-6</v>
      </c>
      <c r="Z18" s="14">
        <f t="shared" si="11"/>
        <v>0.19215449965705142</v>
      </c>
      <c r="AA18" s="14">
        <f t="shared" si="12"/>
        <v>7.8686418575750472E-4</v>
      </c>
      <c r="AB18" s="14">
        <f t="shared" si="13"/>
        <v>2.8027226176756377E-3</v>
      </c>
      <c r="AC18" s="14">
        <f t="shared" si="14"/>
        <v>9.6078195621065232E-2</v>
      </c>
      <c r="AD18" s="14">
        <f t="shared" si="15"/>
        <v>1.6529972428800001E-8</v>
      </c>
      <c r="AE18" s="14">
        <f t="shared" si="16"/>
        <v>7.0368908093586856E-3</v>
      </c>
      <c r="AF18" s="14">
        <f t="shared" si="17"/>
        <v>7.6368260237921691E-5</v>
      </c>
      <c r="AG18" s="14">
        <f t="shared" si="18"/>
        <v>4.9272196573685997E-3</v>
      </c>
      <c r="AH18" s="14">
        <f t="shared" si="19"/>
        <v>1.1506671399324679E-3</v>
      </c>
      <c r="AI18" s="14">
        <f t="shared" si="20"/>
        <v>1.2196420752309657E-8</v>
      </c>
      <c r="AJ18" s="14">
        <f t="shared" si="21"/>
        <v>8.5173007546254223E-4</v>
      </c>
      <c r="AK18" s="14">
        <f t="shared" si="22"/>
        <v>1.5780196350433248E-2</v>
      </c>
      <c r="AL18" s="14">
        <f t="shared" si="23"/>
        <v>1.0181257686472982</v>
      </c>
      <c r="AM18" s="14">
        <f t="shared" si="24"/>
        <v>0.23776570718720283</v>
      </c>
      <c r="AN18" s="14">
        <f t="shared" si="25"/>
        <v>2.5201819924185676E-6</v>
      </c>
      <c r="AO18" s="14">
        <f t="shared" si="26"/>
        <v>0.1759954696688795</v>
      </c>
      <c r="AP18" s="14">
        <f t="shared" si="46"/>
        <v>1.5780196350433248E-2</v>
      </c>
      <c r="AQ18" s="14">
        <f t="shared" si="29"/>
        <v>1.0181257686472982</v>
      </c>
      <c r="AR18" s="14">
        <f t="shared" si="47"/>
        <v>0.24145631122189642</v>
      </c>
      <c r="AS18" s="14">
        <f t="shared" si="31"/>
        <v>2.5201819924185676E-6</v>
      </c>
      <c r="AT18" s="14">
        <f t="shared" si="39"/>
        <v>0.17473776251125242</v>
      </c>
      <c r="AU18" s="10">
        <f t="shared" si="40"/>
        <v>2.7287623796141306E-2</v>
      </c>
      <c r="AV18" s="10">
        <f t="shared" si="41"/>
        <v>4.4645817915775305</v>
      </c>
      <c r="AW18" s="10">
        <f t="shared" si="42"/>
        <v>0.3235667257069858</v>
      </c>
      <c r="AX18" s="10">
        <f t="shared" si="43"/>
        <v>3.9644678256327162E-6</v>
      </c>
      <c r="AY18" s="10">
        <f t="shared" si="44"/>
        <v>0.30509752587544464</v>
      </c>
      <c r="AZ18" s="10">
        <f t="shared" si="48"/>
        <v>0.57829133340165362</v>
      </c>
      <c r="BA18" s="10">
        <f t="shared" si="49"/>
        <v>0.22804504792990929</v>
      </c>
      <c r="BB18" s="10">
        <f t="shared" si="34"/>
        <v>0.74623344132286773</v>
      </c>
      <c r="BC18" s="10">
        <f t="shared" si="45"/>
        <v>0.63569238123816907</v>
      </c>
      <c r="BD18" s="10">
        <f t="shared" si="36"/>
        <v>0.57272756312874429</v>
      </c>
      <c r="BG18" s="11">
        <v>60.999999999999943</v>
      </c>
      <c r="BH18">
        <v>0.54997686652843703</v>
      </c>
    </row>
    <row r="19" spans="2:60" x14ac:dyDescent="0.25">
      <c r="B19" s="10" t="s">
        <v>102</v>
      </c>
      <c r="C19" s="14" t="s">
        <v>117</v>
      </c>
      <c r="D19" s="12">
        <f t="shared" si="37"/>
        <v>139.99999999999991</v>
      </c>
      <c r="E19" s="9">
        <f t="shared" si="50"/>
        <v>9.7222222222222154E-2</v>
      </c>
      <c r="F19" s="9">
        <v>0.51597222222222217</v>
      </c>
      <c r="G19" s="11">
        <v>9.7636000000000003</v>
      </c>
      <c r="H19" s="11">
        <v>18.707899999999999</v>
      </c>
      <c r="I19" s="11">
        <v>14.5457</v>
      </c>
      <c r="J19" s="11">
        <f t="shared" si="1"/>
        <v>4.1621999999999986</v>
      </c>
      <c r="K19" s="11">
        <f t="shared" si="2"/>
        <v>4.7820999999999998</v>
      </c>
      <c r="L19" s="15">
        <v>107312</v>
      </c>
      <c r="M19" s="15">
        <v>10459</v>
      </c>
      <c r="N19" s="15">
        <v>6816509</v>
      </c>
      <c r="O19" s="15">
        <v>106171</v>
      </c>
      <c r="P19" s="15">
        <v>1667036</v>
      </c>
      <c r="Q19" s="14">
        <f t="shared" si="3"/>
        <v>15.120758676187469</v>
      </c>
      <c r="R19" s="14">
        <f t="shared" si="4"/>
        <v>2161.058007366732</v>
      </c>
      <c r="S19" s="14">
        <f t="shared" si="5"/>
        <v>96.245199026119025</v>
      </c>
      <c r="T19" s="14">
        <f t="shared" si="0"/>
        <v>5.2468400000000009E-4</v>
      </c>
      <c r="U19" s="14">
        <f t="shared" si="6"/>
        <v>318.39208550851652</v>
      </c>
      <c r="V19" s="14">
        <f t="shared" si="7"/>
        <v>1.8721011316987706E-2</v>
      </c>
      <c r="W19" s="14">
        <f t="shared" si="8"/>
        <v>1.3177182971748365</v>
      </c>
      <c r="X19" s="14">
        <f t="shared" si="9"/>
        <v>0.17404981791883364</v>
      </c>
      <c r="Y19" s="14">
        <f t="shared" si="10"/>
        <v>3.1681993972000004E-6</v>
      </c>
      <c r="Z19" s="14">
        <f t="shared" si="11"/>
        <v>0.20918360017909535</v>
      </c>
      <c r="AA19" s="14">
        <f t="shared" si="12"/>
        <v>8.6389430544661855E-4</v>
      </c>
      <c r="AB19" s="14">
        <f t="shared" si="13"/>
        <v>3.1983658509027635E-3</v>
      </c>
      <c r="AC19" s="14">
        <f t="shared" si="14"/>
        <v>0.10377590462391771</v>
      </c>
      <c r="AD19" s="14">
        <f t="shared" si="15"/>
        <v>1.8392482809600005E-8</v>
      </c>
      <c r="AE19" s="14">
        <f t="shared" si="16"/>
        <v>7.6605135773349089E-3</v>
      </c>
      <c r="AF19" s="14">
        <f t="shared" si="17"/>
        <v>8.2051822261642487E-5</v>
      </c>
      <c r="AG19" s="14">
        <f t="shared" si="18"/>
        <v>5.4999020018367054E-3</v>
      </c>
      <c r="AH19" s="14">
        <f t="shared" si="19"/>
        <v>1.2206969056438059E-3</v>
      </c>
      <c r="AI19" s="14">
        <f t="shared" si="20"/>
        <v>1.3274634223069625E-8</v>
      </c>
      <c r="AJ19" s="14">
        <f t="shared" si="21"/>
        <v>9.0729732264360373E-4</v>
      </c>
      <c r="AK19" s="14">
        <f t="shared" si="22"/>
        <v>1.7158115108768635E-2</v>
      </c>
      <c r="AL19" s="14">
        <f t="shared" si="23"/>
        <v>1.1501018384886776</v>
      </c>
      <c r="AM19" s="14">
        <f t="shared" si="24"/>
        <v>0.25526377650902449</v>
      </c>
      <c r="AN19" s="14">
        <f t="shared" si="25"/>
        <v>2.7759005924321168E-6</v>
      </c>
      <c r="AO19" s="14">
        <f t="shared" si="26"/>
        <v>0.18972780214625454</v>
      </c>
      <c r="AP19" s="14">
        <f t="shared" si="46"/>
        <v>1.7158115108768635E-2</v>
      </c>
      <c r="AQ19" s="14">
        <f t="shared" si="29"/>
        <v>1.1501018384886776</v>
      </c>
      <c r="AR19" s="14">
        <f t="shared" si="47"/>
        <v>0.25895438054371805</v>
      </c>
      <c r="AS19" s="14">
        <f t="shared" si="31"/>
        <v>2.7759005924321168E-6</v>
      </c>
      <c r="AT19" s="14">
        <f t="shared" si="39"/>
        <v>0.18847009498862746</v>
      </c>
      <c r="AU19" s="10">
        <f t="shared" si="40"/>
        <v>2.7641625347238897E-2</v>
      </c>
      <c r="AV19" s="10">
        <f t="shared" si="41"/>
        <v>4.4396296069340559</v>
      </c>
      <c r="AW19" s="10">
        <f t="shared" si="42"/>
        <v>0.32729017310657166</v>
      </c>
      <c r="AX19" s="10">
        <f t="shared" si="43"/>
        <v>4.0740909350819957E-6</v>
      </c>
      <c r="AY19" s="10">
        <f t="shared" si="44"/>
        <v>0.30873407769449857</v>
      </c>
      <c r="AZ19" s="10">
        <f t="shared" si="48"/>
        <v>0.62073466712703806</v>
      </c>
      <c r="BA19" s="10">
        <f t="shared" si="49"/>
        <v>0.25905355633550731</v>
      </c>
      <c r="BB19" s="10">
        <f t="shared" si="34"/>
        <v>0.79120731944309786</v>
      </c>
      <c r="BC19" s="10">
        <f t="shared" si="45"/>
        <v>0.68135459828076927</v>
      </c>
      <c r="BD19" s="10">
        <f t="shared" si="36"/>
        <v>0.61046093905812415</v>
      </c>
      <c r="BF19" s="14"/>
      <c r="BG19" s="12">
        <v>71</v>
      </c>
      <c r="BH19">
        <v>0.58724745960210423</v>
      </c>
    </row>
    <row r="20" spans="2:60" s="4" customFormat="1" x14ac:dyDescent="0.25">
      <c r="B20" s="4" t="s">
        <v>103</v>
      </c>
      <c r="C20" s="5" t="s">
        <v>43</v>
      </c>
      <c r="D20" s="6">
        <f t="shared" si="37"/>
        <v>148.00000000000003</v>
      </c>
      <c r="E20" s="7">
        <f t="shared" si="50"/>
        <v>0.1027777777777778</v>
      </c>
      <c r="F20" s="7">
        <v>0.52152777777777781</v>
      </c>
      <c r="G20" s="8">
        <v>10.105499999999999</v>
      </c>
      <c r="H20" s="8">
        <v>19.062000000000001</v>
      </c>
      <c r="I20" s="8">
        <v>14.7143</v>
      </c>
      <c r="J20" s="8">
        <f t="shared" si="1"/>
        <v>4.3477000000000015</v>
      </c>
      <c r="K20" s="8">
        <f t="shared" si="2"/>
        <v>4.6088000000000005</v>
      </c>
      <c r="L20" s="13">
        <v>181507</v>
      </c>
      <c r="M20" s="13">
        <v>34887</v>
      </c>
      <c r="N20" s="13">
        <v>8240662</v>
      </c>
      <c r="O20" s="13">
        <v>154626</v>
      </c>
      <c r="P20" s="13">
        <v>2534845</v>
      </c>
      <c r="Q20" s="5">
        <f t="shared" si="3"/>
        <v>22.678489574314206</v>
      </c>
      <c r="R20" s="5">
        <f t="shared" si="4"/>
        <v>7681.135742209568</v>
      </c>
      <c r="S20" s="5">
        <f t="shared" si="5"/>
        <v>116.76229236598331</v>
      </c>
      <c r="T20" s="5">
        <f t="shared" si="0"/>
        <v>7.1850400000000013E-4</v>
      </c>
      <c r="U20" s="5">
        <f t="shared" si="6"/>
        <v>483.73312883435585</v>
      </c>
      <c r="V20" s="5">
        <f t="shared" si="7"/>
        <v>2.807823794195842E-2</v>
      </c>
      <c r="W20" s="5">
        <f t="shared" si="8"/>
        <v>4.6836193550058338</v>
      </c>
      <c r="X20" s="5">
        <f t="shared" si="9"/>
        <v>0.21115292951464423</v>
      </c>
      <c r="Y20" s="5">
        <f t="shared" si="10"/>
        <v>4.3385427032000002E-6</v>
      </c>
      <c r="Z20" s="5">
        <f t="shared" si="11"/>
        <v>0.31781266564417182</v>
      </c>
      <c r="AA20" s="5">
        <f t="shared" si="12"/>
        <v>1.2956901448492938E-3</v>
      </c>
      <c r="AB20" s="5">
        <f t="shared" si="13"/>
        <v>1.136808089847016E-2</v>
      </c>
      <c r="AC20" s="5">
        <f t="shared" si="14"/>
        <v>0.12589835793215967</v>
      </c>
      <c r="AD20" s="5">
        <f t="shared" si="15"/>
        <v>2.5186726617600003E-8</v>
      </c>
      <c r="AE20" s="5">
        <f t="shared" si="16"/>
        <v>1.16386190797546E-2</v>
      </c>
      <c r="AF20" s="5">
        <f t="shared" si="17"/>
        <v>1.280473318398341E-4</v>
      </c>
      <c r="AG20" s="5">
        <f t="shared" si="18"/>
        <v>2.041536508100374E-2</v>
      </c>
      <c r="AH20" s="5">
        <f t="shared" si="19"/>
        <v>1.4982699436885565E-3</v>
      </c>
      <c r="AI20" s="5">
        <f t="shared" si="20"/>
        <v>1.8978762696337846E-8</v>
      </c>
      <c r="AJ20" s="5">
        <f t="shared" si="21"/>
        <v>1.4353941940359392E-3</v>
      </c>
      <c r="AK20" s="5">
        <f t="shared" si="22"/>
        <v>2.7783225967677936E-2</v>
      </c>
      <c r="AL20" s="5">
        <f t="shared" si="23"/>
        <v>4.4296487330766654</v>
      </c>
      <c r="AM20" s="5">
        <f t="shared" si="24"/>
        <v>0.32508894803171245</v>
      </c>
      <c r="AN20" s="5">
        <f t="shared" si="25"/>
        <v>4.1179401788617085E-6</v>
      </c>
      <c r="AO20" s="5">
        <f t="shared" si="26"/>
        <v>0.31144640557974723</v>
      </c>
      <c r="AP20" s="5">
        <f t="shared" si="46"/>
        <v>2.7783225967677936E-2</v>
      </c>
      <c r="AQ20" s="5">
        <f t="shared" si="29"/>
        <v>4.4296487330766654</v>
      </c>
      <c r="AR20" s="5">
        <f t="shared" si="47"/>
        <v>0.32877955206640602</v>
      </c>
      <c r="AS20" s="5">
        <f t="shared" si="31"/>
        <v>4.1179401788617085E-6</v>
      </c>
      <c r="AT20" s="5">
        <f t="shared" ref="AT20:AT37" si="51">IF(AO20-(AVERAGE($AO$9:$AO$11))&lt;0,0,AO20-(AVERAGE($AO$9:$AO$11)))</f>
        <v>0.31018869842212016</v>
      </c>
      <c r="AU20" s="4">
        <f>AP20</f>
        <v>2.7783225967677936E-2</v>
      </c>
      <c r="AV20" s="4">
        <f t="shared" ref="AV20:AY20" si="52">AQ20</f>
        <v>4.4296487330766654</v>
      </c>
      <c r="AW20" s="4">
        <f t="shared" si="52"/>
        <v>0.32877955206640602</v>
      </c>
      <c r="AX20" s="4">
        <f t="shared" si="52"/>
        <v>4.1179401788617085E-6</v>
      </c>
      <c r="AY20" s="4">
        <f t="shared" si="52"/>
        <v>0.31018869842212016</v>
      </c>
      <c r="AZ20" s="4">
        <f t="shared" si="48"/>
        <v>1</v>
      </c>
      <c r="BA20" s="4">
        <f t="shared" si="49"/>
        <v>1</v>
      </c>
      <c r="BB20" s="4">
        <f t="shared" si="34"/>
        <v>1</v>
      </c>
      <c r="BC20" s="4">
        <f t="shared" si="45"/>
        <v>1</v>
      </c>
      <c r="BD20" s="4">
        <f t="shared" si="36"/>
        <v>1</v>
      </c>
      <c r="BG20" s="11">
        <v>79.999999999999957</v>
      </c>
      <c r="BH20">
        <v>0.78850866219990756</v>
      </c>
    </row>
    <row r="21" spans="2:60" x14ac:dyDescent="0.25">
      <c r="B21" s="10" t="s">
        <v>104</v>
      </c>
      <c r="C21" s="14" t="s">
        <v>117</v>
      </c>
      <c r="D21" s="12">
        <f t="shared" si="37"/>
        <v>161</v>
      </c>
      <c r="E21" s="9">
        <f t="shared" si="50"/>
        <v>0.11180555555555555</v>
      </c>
      <c r="F21" s="9">
        <v>0.53055555555555556</v>
      </c>
      <c r="G21" s="11">
        <v>9.9934999999999992</v>
      </c>
      <c r="H21" s="11">
        <v>19.046299999999999</v>
      </c>
      <c r="I21" s="11">
        <v>14.6373</v>
      </c>
      <c r="J21" s="11">
        <f t="shared" si="1"/>
        <v>4.4089999999999989</v>
      </c>
      <c r="K21" s="11">
        <f t="shared" si="2"/>
        <v>4.6438000000000006</v>
      </c>
      <c r="L21" s="15">
        <v>106813</v>
      </c>
      <c r="M21" s="15">
        <v>10021</v>
      </c>
      <c r="N21" s="15">
        <v>6832549</v>
      </c>
      <c r="O21" s="15">
        <v>98263</v>
      </c>
      <c r="P21" s="15">
        <v>1623218</v>
      </c>
      <c r="Q21" s="14">
        <f t="shared" si="3"/>
        <v>15.069929001436268</v>
      </c>
      <c r="R21" s="14">
        <f t="shared" si="4"/>
        <v>2062.0816667796535</v>
      </c>
      <c r="S21" s="14">
        <f t="shared" si="5"/>
        <v>96.476279659429792</v>
      </c>
      <c r="T21" s="14">
        <f t="shared" si="0"/>
        <v>4.9305200000000001E-4</v>
      </c>
      <c r="U21" s="14">
        <f t="shared" si="6"/>
        <v>310.04357352436836</v>
      </c>
      <c r="V21" s="14">
        <f t="shared" si="7"/>
        <v>1.8658079096678243E-2</v>
      </c>
      <c r="W21" s="14">
        <f t="shared" si="8"/>
        <v>1.2573668699875935</v>
      </c>
      <c r="X21" s="14">
        <f t="shared" si="9"/>
        <v>0.17446770413611282</v>
      </c>
      <c r="Y21" s="14">
        <f t="shared" si="10"/>
        <v>2.9771958916000001E-6</v>
      </c>
      <c r="Z21" s="14">
        <f t="shared" si="11"/>
        <v>0.20369862780551001</v>
      </c>
      <c r="AA21" s="14">
        <f t="shared" si="12"/>
        <v>8.6099025363905828E-4</v>
      </c>
      <c r="AB21" s="14">
        <f t="shared" si="13"/>
        <v>3.0518808668338871E-3</v>
      </c>
      <c r="AC21" s="14">
        <f t="shared" si="14"/>
        <v>0.10402506616138188</v>
      </c>
      <c r="AD21" s="14">
        <f t="shared" si="15"/>
        <v>1.72836420288E-8</v>
      </c>
      <c r="AE21" s="14">
        <f t="shared" si="16"/>
        <v>7.4596483789963032E-3</v>
      </c>
      <c r="AF21" s="14">
        <f t="shared" si="17"/>
        <v>8.6261737277103402E-5</v>
      </c>
      <c r="AG21" s="14">
        <f t="shared" si="18"/>
        <v>5.557902854144702E-3</v>
      </c>
      <c r="AH21" s="14">
        <f t="shared" si="19"/>
        <v>1.2522997097763463E-3</v>
      </c>
      <c r="AI21" s="14">
        <f t="shared" si="20"/>
        <v>1.3206718462917738E-8</v>
      </c>
      <c r="AJ21" s="14">
        <f t="shared" si="21"/>
        <v>9.3274836513687642E-4</v>
      </c>
      <c r="AK21" s="14">
        <f t="shared" si="22"/>
        <v>1.8575678814140014E-2</v>
      </c>
      <c r="AL21" s="14">
        <f t="shared" si="23"/>
        <v>1.1968437172455104</v>
      </c>
      <c r="AM21" s="14">
        <f t="shared" si="24"/>
        <v>0.26967132731305099</v>
      </c>
      <c r="AN21" s="14">
        <f t="shared" si="25"/>
        <v>2.8439464367366674E-6</v>
      </c>
      <c r="AO21" s="14">
        <f t="shared" si="26"/>
        <v>0.20085885807676393</v>
      </c>
      <c r="AP21" s="14">
        <f t="shared" si="46"/>
        <v>1.8575678814140014E-2</v>
      </c>
      <c r="AQ21" s="14">
        <f t="shared" si="29"/>
        <v>1.1968437172455104</v>
      </c>
      <c r="AR21" s="14">
        <f t="shared" si="47"/>
        <v>0.27336193134774456</v>
      </c>
      <c r="AS21" s="14">
        <f t="shared" si="31"/>
        <v>2.8439464367366674E-6</v>
      </c>
      <c r="AT21" s="14">
        <f t="shared" si="51"/>
        <v>0.19960115091913685</v>
      </c>
      <c r="AU21" s="10">
        <f>$AU$20+(($AU$31-$AU$20)/($D$31-$D$20))*(D21-$D$20)</f>
        <v>2.7666064358902964E-2</v>
      </c>
      <c r="AV21" s="10">
        <f>$AV$20+(($AV$31-$AV$20)/($D$31-$D$20))*(D21-$D$20)</f>
        <v>4.3724915043757093</v>
      </c>
      <c r="AW21" s="10">
        <f>$AW$20+(($AW$31-$AW$20)/($D$31-$D$20))*(D21-$D$20)</f>
        <v>0.32811124936213615</v>
      </c>
      <c r="AX21" s="10">
        <f>$AX$20+(($AX$31-$AX$20)/($D$31-$D$20))*(D21-$D$20)</f>
        <v>4.1130194043575664E-6</v>
      </c>
      <c r="AY21" s="10">
        <f>$AY$20+(($AY$31-$AY$20)/($D$31-$D$20))*(D21-$D$20)</f>
        <v>0.30941914995366598</v>
      </c>
      <c r="AZ21" s="10">
        <f t="shared" si="48"/>
        <v>0.67142469464263876</v>
      </c>
      <c r="BA21" s="10">
        <f t="shared" si="49"/>
        <v>0.27372122188180031</v>
      </c>
      <c r="BB21" s="10">
        <f t="shared" si="34"/>
        <v>0.83313794293604115</v>
      </c>
      <c r="BC21" s="10">
        <f t="shared" si="45"/>
        <v>0.69144979810297735</v>
      </c>
      <c r="BD21" s="10">
        <f t="shared" si="36"/>
        <v>0.64508337945155025</v>
      </c>
      <c r="BF21" s="14"/>
      <c r="BG21" s="12">
        <v>92</v>
      </c>
      <c r="BH21">
        <v>0.77128707781414396</v>
      </c>
    </row>
    <row r="22" spans="2:60" x14ac:dyDescent="0.25">
      <c r="B22" s="10" t="s">
        <v>105</v>
      </c>
      <c r="C22" s="14" t="s">
        <v>117</v>
      </c>
      <c r="D22" s="12">
        <f t="shared" si="37"/>
        <v>180.99999999999991</v>
      </c>
      <c r="E22" s="9">
        <f t="shared" si="50"/>
        <v>0.12569444444444439</v>
      </c>
      <c r="F22" s="9">
        <v>0.5444444444444444</v>
      </c>
      <c r="G22" s="11">
        <v>10.0024</v>
      </c>
      <c r="H22" s="11">
        <v>18.909199999999998</v>
      </c>
      <c r="I22" s="11">
        <v>15.3566</v>
      </c>
      <c r="J22" s="11">
        <f t="shared" si="1"/>
        <v>3.5525999999999982</v>
      </c>
      <c r="K22" s="11">
        <f t="shared" si="2"/>
        <v>5.3542000000000005</v>
      </c>
      <c r="L22" s="15">
        <v>146290</v>
      </c>
      <c r="M22" s="15">
        <v>14586</v>
      </c>
      <c r="N22" s="15">
        <v>8241550</v>
      </c>
      <c r="O22" s="15">
        <v>139959</v>
      </c>
      <c r="P22" s="15">
        <v>2274526</v>
      </c>
      <c r="Q22" s="14">
        <f t="shared" si="3"/>
        <v>19.091177639017634</v>
      </c>
      <c r="R22" s="14">
        <f t="shared" si="4"/>
        <v>3093.6501480125639</v>
      </c>
      <c r="S22" s="14">
        <f t="shared" si="5"/>
        <v>116.7750853586504</v>
      </c>
      <c r="T22" s="14">
        <f t="shared" si="0"/>
        <v>6.5983600000000012E-4</v>
      </c>
      <c r="U22" s="14">
        <f t="shared" si="6"/>
        <v>434.13533132644898</v>
      </c>
      <c r="V22" s="14">
        <f t="shared" si="7"/>
        <v>2.3636787034867733E-2</v>
      </c>
      <c r="W22" s="14">
        <f t="shared" si="8"/>
        <v>1.8863720414710754</v>
      </c>
      <c r="X22" s="14">
        <f t="shared" si="9"/>
        <v>0.21117606436258338</v>
      </c>
      <c r="Y22" s="14">
        <f t="shared" si="10"/>
        <v>3.9842877188000004E-6</v>
      </c>
      <c r="Z22" s="14">
        <f t="shared" si="11"/>
        <v>0.28522691268147699</v>
      </c>
      <c r="AA22" s="14">
        <f t="shared" si="12"/>
        <v>1.0907362520499945E-3</v>
      </c>
      <c r="AB22" s="14">
        <f t="shared" si="13"/>
        <v>4.5786022190585944E-3</v>
      </c>
      <c r="AC22" s="14">
        <f t="shared" si="14"/>
        <v>0.12591215191253799</v>
      </c>
      <c r="AD22" s="14">
        <f t="shared" si="15"/>
        <v>2.3130155078400006E-8</v>
      </c>
      <c r="AE22" s="14">
        <f t="shared" si="16"/>
        <v>1.0445296071714362E-2</v>
      </c>
      <c r="AF22" s="14">
        <f t="shared" si="17"/>
        <v>8.981206966079715E-5</v>
      </c>
      <c r="AG22" s="14">
        <f t="shared" si="18"/>
        <v>6.7260400665314227E-3</v>
      </c>
      <c r="AH22" s="14">
        <f t="shared" si="19"/>
        <v>1.4243829300246242E-3</v>
      </c>
      <c r="AI22" s="14">
        <f t="shared" si="20"/>
        <v>1.4278424026129643E-8</v>
      </c>
      <c r="AJ22" s="14">
        <f t="shared" si="21"/>
        <v>1.0692233342193878E-3</v>
      </c>
      <c r="AK22" s="14">
        <f t="shared" si="22"/>
        <v>1.6774134261102899E-2</v>
      </c>
      <c r="AL22" s="14">
        <f t="shared" si="23"/>
        <v>1.2562175612661877</v>
      </c>
      <c r="AM22" s="14">
        <f t="shared" si="24"/>
        <v>0.26603095327492887</v>
      </c>
      <c r="AN22" s="14">
        <f t="shared" si="25"/>
        <v>2.6667707642840464E-6</v>
      </c>
      <c r="AO22" s="14">
        <f t="shared" si="26"/>
        <v>0.19969805652000069</v>
      </c>
      <c r="AP22" s="14">
        <f t="shared" si="46"/>
        <v>1.6774134261102899E-2</v>
      </c>
      <c r="AQ22" s="14">
        <f t="shared" si="29"/>
        <v>1.2562175612661877</v>
      </c>
      <c r="AR22" s="14">
        <f t="shared" si="47"/>
        <v>0.26972155730962244</v>
      </c>
      <c r="AS22" s="14">
        <f t="shared" si="31"/>
        <v>2.6667707642840464E-6</v>
      </c>
      <c r="AT22" s="14">
        <f t="shared" si="51"/>
        <v>0.19844034936237362</v>
      </c>
      <c r="AU22" s="10">
        <f t="shared" ref="AU22:AU26" si="53">$AU$20+(($AU$31-$AU$20)/($D$31-$D$20))*(D22-$D$20)</f>
        <v>2.7485815730018393E-2</v>
      </c>
      <c r="AV22" s="10">
        <f t="shared" ref="AV22:AV30" si="54">$AV$20+(($AV$31-$AV$20)/($D$31-$D$20))*(D22-$D$20)</f>
        <v>4.2845573063742375</v>
      </c>
      <c r="AW22" s="10">
        <f t="shared" ref="AW22:AW30" si="55">$AW$20+(($AW$31-$AW$20)/($D$31-$D$20))*(D22-$D$20)</f>
        <v>0.32708309135556712</v>
      </c>
      <c r="AX22" s="10">
        <f t="shared" ref="AX22:AX30" si="56">$AX$20+(($AX$31-$AX$20)/($D$31-$D$20))*(D22-$D$20)</f>
        <v>4.1054489820435016E-6</v>
      </c>
      <c r="AY22" s="10">
        <f t="shared" ref="AY22:AY30" si="57">$AY$20+(($AY$31-$AY$20)/($D$31-$D$20))*(D22-$D$20)</f>
        <v>0.30823522923296731</v>
      </c>
      <c r="AZ22" s="10">
        <f t="shared" si="48"/>
        <v>0.6102832976058693</v>
      </c>
      <c r="BA22" s="10">
        <f t="shared" si="49"/>
        <v>0.2931965828528616</v>
      </c>
      <c r="BB22" s="10">
        <f t="shared" si="34"/>
        <v>0.82462702731524629</v>
      </c>
      <c r="BC22" s="10">
        <f t="shared" si="45"/>
        <v>0.64956860405476335</v>
      </c>
      <c r="BD22" s="10">
        <f t="shared" si="36"/>
        <v>0.64379516207860321</v>
      </c>
      <c r="BG22" s="11">
        <v>99.999999999999972</v>
      </c>
      <c r="BH22">
        <v>0.90571825145226792</v>
      </c>
    </row>
    <row r="23" spans="2:60" x14ac:dyDescent="0.25">
      <c r="B23" s="10" t="s">
        <v>106</v>
      </c>
      <c r="C23" s="14" t="s">
        <v>117</v>
      </c>
      <c r="D23" s="12">
        <f t="shared" si="37"/>
        <v>201</v>
      </c>
      <c r="E23" s="9">
        <f t="shared" si="50"/>
        <v>0.13958333333333334</v>
      </c>
      <c r="F23" s="9">
        <v>0.55833333333333335</v>
      </c>
      <c r="G23" s="11">
        <v>9.8872999999999998</v>
      </c>
      <c r="H23" s="11">
        <v>18.838100000000001</v>
      </c>
      <c r="I23" s="11">
        <v>14.2904</v>
      </c>
      <c r="J23" s="11">
        <f t="shared" si="1"/>
        <v>4.5477000000000007</v>
      </c>
      <c r="K23" s="11">
        <f t="shared" si="2"/>
        <v>4.4031000000000002</v>
      </c>
      <c r="L23" s="15">
        <v>102102</v>
      </c>
      <c r="M23" s="15">
        <v>9921</v>
      </c>
      <c r="N23" s="15">
        <v>7121059</v>
      </c>
      <c r="O23" s="15">
        <v>99371</v>
      </c>
      <c r="P23" s="15">
        <v>1613860</v>
      </c>
      <c r="Q23" s="14">
        <f t="shared" si="3"/>
        <v>14.590052052031659</v>
      </c>
      <c r="R23" s="14">
        <f t="shared" si="4"/>
        <v>2039.4843287460737</v>
      </c>
      <c r="S23" s="14">
        <f t="shared" si="5"/>
        <v>100.63270568913605</v>
      </c>
      <c r="T23" s="14">
        <f t="shared" si="0"/>
        <v>4.9748400000000008E-4</v>
      </c>
      <c r="U23" s="14">
        <f t="shared" si="6"/>
        <v>308.26062188012037</v>
      </c>
      <c r="V23" s="14">
        <f t="shared" si="7"/>
        <v>1.8063943445620397E-2</v>
      </c>
      <c r="W23" s="14">
        <f t="shared" si="8"/>
        <v>1.2435880053329718</v>
      </c>
      <c r="X23" s="14">
        <f t="shared" si="9"/>
        <v>0.18198418496823363</v>
      </c>
      <c r="Y23" s="14">
        <f t="shared" si="10"/>
        <v>3.0039576372000005E-6</v>
      </c>
      <c r="Z23" s="14">
        <f t="shared" si="11"/>
        <v>0.20252722857523908</v>
      </c>
      <c r="AA23" s="14">
        <f t="shared" si="12"/>
        <v>8.3357344388872471E-4</v>
      </c>
      <c r="AB23" s="14">
        <f t="shared" si="13"/>
        <v>3.0184368065441889E-3</v>
      </c>
      <c r="AC23" s="14">
        <f t="shared" si="14"/>
        <v>0.1085067117457825</v>
      </c>
      <c r="AD23" s="14">
        <f t="shared" si="15"/>
        <v>1.7439003129600001E-8</v>
      </c>
      <c r="AE23" s="14">
        <f t="shared" si="16"/>
        <v>7.416750562435695E-3</v>
      </c>
      <c r="AF23" s="14">
        <f t="shared" si="17"/>
        <v>8.5819702838434343E-5</v>
      </c>
      <c r="AG23" s="14">
        <f t="shared" si="18"/>
        <v>5.6687556509556506E-3</v>
      </c>
      <c r="AH23" s="14">
        <f t="shared" si="19"/>
        <v>1.3053753804678912E-3</v>
      </c>
      <c r="AI23" s="14">
        <f t="shared" si="20"/>
        <v>1.3737883821374385E-8</v>
      </c>
      <c r="AJ23" s="14">
        <f t="shared" si="21"/>
        <v>9.5368977179307549E-4</v>
      </c>
      <c r="AK23" s="14">
        <f t="shared" si="22"/>
        <v>1.9490745801465863E-2</v>
      </c>
      <c r="AL23" s="14">
        <f t="shared" si="23"/>
        <v>1.2874464924611411</v>
      </c>
      <c r="AM23" s="14">
        <f t="shared" si="24"/>
        <v>0.29646734811107883</v>
      </c>
      <c r="AN23" s="14">
        <f t="shared" si="25"/>
        <v>3.1200481073276517E-6</v>
      </c>
      <c r="AO23" s="14">
        <f t="shared" si="26"/>
        <v>0.21659507433241929</v>
      </c>
      <c r="AP23" s="14">
        <f t="shared" si="46"/>
        <v>1.9490745801465863E-2</v>
      </c>
      <c r="AQ23" s="14">
        <f t="shared" si="29"/>
        <v>1.2874464924611411</v>
      </c>
      <c r="AR23" s="14">
        <f t="shared" si="47"/>
        <v>0.3001579521457724</v>
      </c>
      <c r="AS23" s="14">
        <f t="shared" si="31"/>
        <v>3.1200481073276517E-6</v>
      </c>
      <c r="AT23" s="14">
        <f t="shared" si="51"/>
        <v>0.21533736717479221</v>
      </c>
      <c r="AU23" s="10">
        <f t="shared" si="53"/>
        <v>2.7305567101133823E-2</v>
      </c>
      <c r="AV23" s="10">
        <f t="shared" si="54"/>
        <v>4.1966231083727656</v>
      </c>
      <c r="AW23" s="10">
        <f t="shared" si="55"/>
        <v>0.32605493334899804</v>
      </c>
      <c r="AX23" s="10">
        <f t="shared" si="56"/>
        <v>4.0978785597294368E-6</v>
      </c>
      <c r="AY23" s="10">
        <f t="shared" si="57"/>
        <v>0.30705130851226864</v>
      </c>
      <c r="AZ23" s="10">
        <f t="shared" si="48"/>
        <v>0.71380117209345706</v>
      </c>
      <c r="BA23" s="10">
        <f t="shared" si="49"/>
        <v>0.30678153820688142</v>
      </c>
      <c r="BB23" s="10">
        <f t="shared" si="34"/>
        <v>0.92057479107207252</v>
      </c>
      <c r="BC23" s="10">
        <f t="shared" si="45"/>
        <v>0.76138130055607445</v>
      </c>
      <c r="BD23" s="10">
        <f t="shared" si="36"/>
        <v>0.70130744017392166</v>
      </c>
      <c r="BF23" s="14"/>
      <c r="BG23" s="12">
        <v>112</v>
      </c>
      <c r="BH23">
        <v>0.86407800263892942</v>
      </c>
    </row>
    <row r="24" spans="2:60" x14ac:dyDescent="0.25">
      <c r="B24" s="10" t="s">
        <v>107</v>
      </c>
      <c r="C24" s="14" t="s">
        <v>117</v>
      </c>
      <c r="D24" s="12">
        <f t="shared" si="37"/>
        <v>217.99999999999994</v>
      </c>
      <c r="E24" s="9">
        <f t="shared" si="50"/>
        <v>0.15138888888888885</v>
      </c>
      <c r="F24" s="9">
        <v>0.57013888888888886</v>
      </c>
      <c r="G24" s="11">
        <v>10.071400000000001</v>
      </c>
      <c r="H24" s="11">
        <v>19.026900000000001</v>
      </c>
      <c r="I24" s="11">
        <v>14.664</v>
      </c>
      <c r="J24" s="11">
        <f t="shared" si="1"/>
        <v>4.3629000000000016</v>
      </c>
      <c r="K24" s="11">
        <f t="shared" si="2"/>
        <v>4.5925999999999991</v>
      </c>
      <c r="L24" s="15">
        <v>109991</v>
      </c>
      <c r="M24" s="15">
        <v>10545</v>
      </c>
      <c r="N24" s="15">
        <v>7262005</v>
      </c>
      <c r="O24" s="15">
        <v>104308</v>
      </c>
      <c r="P24" s="15">
        <v>1730173</v>
      </c>
      <c r="Q24" s="14">
        <f t="shared" si="3"/>
        <v>15.393649855863748</v>
      </c>
      <c r="R24" s="14">
        <f t="shared" si="4"/>
        <v>2180.4917180756106</v>
      </c>
      <c r="S24" s="14">
        <f t="shared" si="5"/>
        <v>102.66324751847637</v>
      </c>
      <c r="T24" s="14">
        <f t="shared" si="0"/>
        <v>5.1723200000000006E-4</v>
      </c>
      <c r="U24" s="14">
        <f t="shared" si="6"/>
        <v>330.42138856075906</v>
      </c>
      <c r="V24" s="14">
        <f t="shared" si="7"/>
        <v>1.9058877886544905E-2</v>
      </c>
      <c r="W24" s="14">
        <f t="shared" si="8"/>
        <v>1.3295681207778112</v>
      </c>
      <c r="X24" s="14">
        <f t="shared" si="9"/>
        <v>0.18565621681241268</v>
      </c>
      <c r="Y24" s="14">
        <f t="shared" si="10"/>
        <v>3.1232019855999999E-6</v>
      </c>
      <c r="Z24" s="14">
        <f t="shared" si="11"/>
        <v>0.21708685228441871</v>
      </c>
      <c r="AA24" s="14">
        <f t="shared" si="12"/>
        <v>8.7948539721506352E-4</v>
      </c>
      <c r="AB24" s="14">
        <f t="shared" si="13"/>
        <v>3.227127742751904E-3</v>
      </c>
      <c r="AC24" s="14">
        <f t="shared" si="14"/>
        <v>0.11069613332055955</v>
      </c>
      <c r="AD24" s="14">
        <f t="shared" si="15"/>
        <v>1.8131257420800004E-8</v>
      </c>
      <c r="AE24" s="14">
        <f t="shared" si="16"/>
        <v>7.9499386087718612E-3</v>
      </c>
      <c r="AF24" s="14">
        <f t="shared" si="17"/>
        <v>8.719110296645669E-5</v>
      </c>
      <c r="AG24" s="14">
        <f t="shared" si="18"/>
        <v>5.8155936610128772E-3</v>
      </c>
      <c r="AH24" s="14">
        <f t="shared" si="19"/>
        <v>1.3183825702188772E-3</v>
      </c>
      <c r="AI24" s="14">
        <f t="shared" si="20"/>
        <v>1.3709487555805011E-8</v>
      </c>
      <c r="AJ24" s="14">
        <f t="shared" si="21"/>
        <v>9.8363911588633625E-4</v>
      </c>
      <c r="AK24" s="14">
        <f t="shared" si="22"/>
        <v>1.8985128895714128E-2</v>
      </c>
      <c r="AL24" s="14">
        <f t="shared" si="23"/>
        <v>1.2662965773228407</v>
      </c>
      <c r="AM24" s="14">
        <f t="shared" si="24"/>
        <v>0.28706670953683699</v>
      </c>
      <c r="AN24" s="14">
        <f t="shared" si="25"/>
        <v>2.9851255401744137E-6</v>
      </c>
      <c r="AO24" s="14">
        <f t="shared" si="26"/>
        <v>0.21417913946050959</v>
      </c>
      <c r="AP24" s="14">
        <f t="shared" si="46"/>
        <v>1.8985128895714128E-2</v>
      </c>
      <c r="AQ24" s="14">
        <f t="shared" si="29"/>
        <v>1.2662965773228407</v>
      </c>
      <c r="AR24" s="14">
        <f t="shared" si="47"/>
        <v>0.29075731357153056</v>
      </c>
      <c r="AS24" s="14">
        <f t="shared" si="31"/>
        <v>2.9851255401744137E-6</v>
      </c>
      <c r="AT24" s="14">
        <f t="shared" si="51"/>
        <v>0.21292143230288252</v>
      </c>
      <c r="AU24" s="10">
        <f t="shared" si="53"/>
        <v>2.7152355766581936E-2</v>
      </c>
      <c r="AV24" s="10">
        <f t="shared" si="54"/>
        <v>4.1218790400715148</v>
      </c>
      <c r="AW24" s="10">
        <f t="shared" si="55"/>
        <v>0.32518099904341435</v>
      </c>
      <c r="AX24" s="10">
        <f t="shared" si="56"/>
        <v>4.0914437007624813E-6</v>
      </c>
      <c r="AY24" s="10">
        <f t="shared" si="57"/>
        <v>0.30604497589967472</v>
      </c>
      <c r="AZ24" s="10">
        <f t="shared" si="48"/>
        <v>0.6992074300632245</v>
      </c>
      <c r="BA24" s="10">
        <f t="shared" si="49"/>
        <v>0.3072134249967875</v>
      </c>
      <c r="BB24" s="10">
        <f t="shared" si="34"/>
        <v>0.89413992338682757</v>
      </c>
      <c r="BC24" s="10">
        <f t="shared" si="45"/>
        <v>0.72960200811711173</v>
      </c>
      <c r="BD24" s="10">
        <f t="shared" si="36"/>
        <v>0.69571941730773834</v>
      </c>
      <c r="BG24" s="11">
        <v>119.99999999999997</v>
      </c>
      <c r="BH24">
        <v>0.93193618589029592</v>
      </c>
    </row>
    <row r="25" spans="2:60" x14ac:dyDescent="0.25">
      <c r="B25" s="10" t="s">
        <v>108</v>
      </c>
      <c r="C25" s="14" t="s">
        <v>117</v>
      </c>
      <c r="D25" s="12">
        <f t="shared" si="37"/>
        <v>248</v>
      </c>
      <c r="E25" s="9">
        <f t="shared" si="50"/>
        <v>0.17222222222222222</v>
      </c>
      <c r="F25" s="9">
        <v>0.59097222222222223</v>
      </c>
      <c r="G25" s="11">
        <v>9.9292999999999996</v>
      </c>
      <c r="H25" s="11">
        <v>18.707899999999999</v>
      </c>
      <c r="I25" s="11">
        <v>14.390700000000001</v>
      </c>
      <c r="J25" s="11">
        <f t="shared" si="1"/>
        <v>4.3171999999999979</v>
      </c>
      <c r="K25" s="11">
        <f t="shared" si="2"/>
        <v>4.4614000000000011</v>
      </c>
      <c r="L25" s="15">
        <v>116341</v>
      </c>
      <c r="M25" s="15">
        <v>11078</v>
      </c>
      <c r="N25" s="15">
        <v>7247931</v>
      </c>
      <c r="O25" s="15">
        <v>110012</v>
      </c>
      <c r="P25" s="15">
        <v>1753272</v>
      </c>
      <c r="Q25" s="14">
        <f t="shared" si="3"/>
        <v>16.040480386264782</v>
      </c>
      <c r="R25" s="14">
        <f t="shared" si="4"/>
        <v>2300.9355297945904</v>
      </c>
      <c r="S25" s="14">
        <f t="shared" si="5"/>
        <v>102.46049010992178</v>
      </c>
      <c r="T25" s="14">
        <f t="shared" si="0"/>
        <v>5.40048E-4</v>
      </c>
      <c r="U25" s="14">
        <f t="shared" si="6"/>
        <v>334.82237168006702</v>
      </c>
      <c r="V25" s="14">
        <f t="shared" si="7"/>
        <v>1.9859718766234428E-2</v>
      </c>
      <c r="W25" s="14">
        <f t="shared" si="8"/>
        <v>1.4030094693869453</v>
      </c>
      <c r="X25" s="14">
        <f t="shared" si="9"/>
        <v>0.18528955031478256</v>
      </c>
      <c r="Y25" s="14">
        <f t="shared" si="10"/>
        <v>3.2609718383999994E-6</v>
      </c>
      <c r="Z25" s="14">
        <f t="shared" si="11"/>
        <v>0.21997829819380407</v>
      </c>
      <c r="AA25" s="14">
        <f t="shared" si="12"/>
        <v>9.1644076590846591E-4</v>
      </c>
      <c r="AB25" s="14">
        <f t="shared" si="13"/>
        <v>3.4053845840959934E-3</v>
      </c>
      <c r="AC25" s="14">
        <f t="shared" si="14"/>
        <v>0.11047751115857261</v>
      </c>
      <c r="AD25" s="14">
        <f t="shared" si="15"/>
        <v>1.89310586112E-8</v>
      </c>
      <c r="AE25" s="14">
        <f t="shared" si="16"/>
        <v>8.055826262622412E-3</v>
      </c>
      <c r="AF25" s="14">
        <f t="shared" si="17"/>
        <v>8.9826986690611258E-5</v>
      </c>
      <c r="AG25" s="14">
        <f t="shared" si="18"/>
        <v>6.0722652640208038E-3</v>
      </c>
      <c r="AH25" s="14">
        <f t="shared" si="19"/>
        <v>1.2928164149018349E-3</v>
      </c>
      <c r="AI25" s="14">
        <f t="shared" si="20"/>
        <v>1.4162726645628478E-8</v>
      </c>
      <c r="AJ25" s="14">
        <f t="shared" si="21"/>
        <v>9.8563057225035402E-4</v>
      </c>
      <c r="AK25" s="14">
        <f t="shared" si="22"/>
        <v>2.0134259804234375E-2</v>
      </c>
      <c r="AL25" s="14">
        <f t="shared" si="23"/>
        <v>1.3610672129871346</v>
      </c>
      <c r="AM25" s="14">
        <f t="shared" si="24"/>
        <v>0.28977818955974238</v>
      </c>
      <c r="AN25" s="14">
        <f t="shared" si="25"/>
        <v>3.1745027672095028E-6</v>
      </c>
      <c r="AO25" s="14">
        <f t="shared" si="26"/>
        <v>0.22092405349225663</v>
      </c>
      <c r="AP25" s="14">
        <f t="shared" si="46"/>
        <v>2.0134259804234375E-2</v>
      </c>
      <c r="AQ25" s="14">
        <f t="shared" si="29"/>
        <v>1.3610672129871346</v>
      </c>
      <c r="AR25" s="14">
        <f t="shared" si="47"/>
        <v>0.29346879359443595</v>
      </c>
      <c r="AS25" s="14">
        <f t="shared" si="31"/>
        <v>3.1745027672095028E-6</v>
      </c>
      <c r="AT25" s="14">
        <f t="shared" si="51"/>
        <v>0.21966634633462956</v>
      </c>
      <c r="AU25" s="10">
        <f t="shared" si="53"/>
        <v>2.6881982823255077E-2</v>
      </c>
      <c r="AV25" s="10">
        <f t="shared" si="54"/>
        <v>3.9899777430693071</v>
      </c>
      <c r="AW25" s="10">
        <f t="shared" si="55"/>
        <v>0.32363876203356079</v>
      </c>
      <c r="AX25" s="10">
        <f t="shared" si="56"/>
        <v>4.0800880672913846E-6</v>
      </c>
      <c r="AY25" s="10">
        <f t="shared" si="57"/>
        <v>0.30426909481862668</v>
      </c>
      <c r="AZ25" s="10">
        <f t="shared" si="48"/>
        <v>0.74898715383511894</v>
      </c>
      <c r="BA25" s="10">
        <f t="shared" si="49"/>
        <v>0.34112150508893013</v>
      </c>
      <c r="BB25" s="10">
        <f t="shared" si="34"/>
        <v>0.90677887824822334</v>
      </c>
      <c r="BC25" s="10">
        <f t="shared" si="45"/>
        <v>0.77804760947646279</v>
      </c>
      <c r="BD25" s="10">
        <f t="shared" si="36"/>
        <v>0.72194761175324618</v>
      </c>
      <c r="BF25" s="14"/>
      <c r="BG25" s="12">
        <v>132</v>
      </c>
      <c r="BH25">
        <v>0.89183816851448849</v>
      </c>
    </row>
    <row r="26" spans="2:60" x14ac:dyDescent="0.25">
      <c r="B26" s="10" t="s">
        <v>109</v>
      </c>
      <c r="C26" s="14" t="s">
        <v>117</v>
      </c>
      <c r="D26" s="12">
        <f t="shared" si="37"/>
        <v>278.00000000000006</v>
      </c>
      <c r="E26" s="9">
        <f t="shared" si="50"/>
        <v>0.19305555555555559</v>
      </c>
      <c r="F26" s="9">
        <v>0.6118055555555556</v>
      </c>
      <c r="G26" s="11">
        <v>9.9306000000000001</v>
      </c>
      <c r="H26" s="11">
        <v>18.753699999999998</v>
      </c>
      <c r="I26" s="11">
        <v>14.465299999999999</v>
      </c>
      <c r="J26" s="11">
        <f t="shared" si="1"/>
        <v>4.2883999999999993</v>
      </c>
      <c r="K26" s="11">
        <f t="shared" si="2"/>
        <v>4.5346999999999991</v>
      </c>
      <c r="L26" s="15">
        <v>123299</v>
      </c>
      <c r="M26" s="15">
        <v>11691</v>
      </c>
      <c r="N26" s="15">
        <v>7489656</v>
      </c>
      <c r="O26" s="15">
        <v>116991</v>
      </c>
      <c r="P26" s="15">
        <v>1857640</v>
      </c>
      <c r="Q26" s="14">
        <f t="shared" si="3"/>
        <v>16.749243666663272</v>
      </c>
      <c r="R26" s="14">
        <f t="shared" si="4"/>
        <v>2439.4572119404334</v>
      </c>
      <c r="S26" s="14">
        <f t="shared" si="5"/>
        <v>105.94290694826617</v>
      </c>
      <c r="T26" s="14">
        <f t="shared" si="0"/>
        <v>5.6796400000000001E-4</v>
      </c>
      <c r="U26" s="14">
        <f t="shared" si="6"/>
        <v>354.70729337347097</v>
      </c>
      <c r="V26" s="14">
        <f t="shared" si="7"/>
        <v>2.0737238583695798E-2</v>
      </c>
      <c r="W26" s="14">
        <f t="shared" si="8"/>
        <v>1.4874739097197762</v>
      </c>
      <c r="X26" s="14">
        <f t="shared" si="9"/>
        <v>0.19158715292524453</v>
      </c>
      <c r="Y26" s="14">
        <f t="shared" si="10"/>
        <v>3.4295370211999996E-6</v>
      </c>
      <c r="Z26" s="14">
        <f t="shared" si="11"/>
        <v>0.23304269174637043</v>
      </c>
      <c r="AA26" s="14">
        <f t="shared" si="12"/>
        <v>9.569345384074729E-4</v>
      </c>
      <c r="AB26" s="14">
        <f t="shared" si="13"/>
        <v>3.6103966736718415E-3</v>
      </c>
      <c r="AC26" s="14">
        <f t="shared" si="14"/>
        <v>0.11423240970243326</v>
      </c>
      <c r="AD26" s="14">
        <f t="shared" si="15"/>
        <v>1.9909637241600003E-8</v>
      </c>
      <c r="AE26" s="14">
        <f t="shared" si="16"/>
        <v>8.5342574785657113E-3</v>
      </c>
      <c r="AF26" s="14">
        <f t="shared" si="17"/>
        <v>9.3268984993637424E-5</v>
      </c>
      <c r="AG26" s="14">
        <f t="shared" si="18"/>
        <v>6.3952551802383874E-3</v>
      </c>
      <c r="AH26" s="14">
        <f t="shared" si="19"/>
        <v>1.3396120548822424E-3</v>
      </c>
      <c r="AI26" s="14">
        <f t="shared" si="20"/>
        <v>1.4797510793713559E-8</v>
      </c>
      <c r="AJ26" s="14">
        <f t="shared" si="21"/>
        <v>1.0380805766731867E-3</v>
      </c>
      <c r="AK26" s="14">
        <f t="shared" si="22"/>
        <v>2.0567840208533628E-2</v>
      </c>
      <c r="AL26" s="14">
        <f t="shared" si="23"/>
        <v>1.4102928926364233</v>
      </c>
      <c r="AM26" s="14">
        <f t="shared" si="24"/>
        <v>0.29541360065323896</v>
      </c>
      <c r="AN26" s="14">
        <f t="shared" si="25"/>
        <v>3.2631730420344372E-6</v>
      </c>
      <c r="AO26" s="14">
        <f t="shared" si="26"/>
        <v>0.22891935005032019</v>
      </c>
      <c r="AP26" s="14">
        <f t="shared" si="46"/>
        <v>2.0567840208533628E-2</v>
      </c>
      <c r="AQ26" s="14">
        <f t="shared" si="29"/>
        <v>1.4102928926364233</v>
      </c>
      <c r="AR26" s="14">
        <f t="shared" si="47"/>
        <v>0.29910420468793253</v>
      </c>
      <c r="AS26" s="14">
        <f t="shared" si="31"/>
        <v>3.2631730420344372E-6</v>
      </c>
      <c r="AT26" s="14">
        <f t="shared" si="51"/>
        <v>0.22766164289269311</v>
      </c>
      <c r="AU26" s="10">
        <f t="shared" si="53"/>
        <v>2.6611609879928218E-2</v>
      </c>
      <c r="AV26" s="10">
        <f t="shared" si="54"/>
        <v>3.8580764460670993</v>
      </c>
      <c r="AW26" s="10">
        <f t="shared" si="55"/>
        <v>0.32209652502370723</v>
      </c>
      <c r="AX26" s="10">
        <f t="shared" si="56"/>
        <v>4.068732433820287E-6</v>
      </c>
      <c r="AY26" s="10">
        <f t="shared" si="57"/>
        <v>0.30249321373757865</v>
      </c>
      <c r="AZ26" s="10">
        <f t="shared" si="48"/>
        <v>0.77288973877701783</v>
      </c>
      <c r="BA26" s="10">
        <f t="shared" si="49"/>
        <v>0.36554301407740836</v>
      </c>
      <c r="BB26" s="10">
        <f t="shared" si="34"/>
        <v>0.92861667683598137</v>
      </c>
      <c r="BC26" s="10">
        <f t="shared" si="45"/>
        <v>0.80201219792929968</v>
      </c>
      <c r="BD26" s="10">
        <f t="shared" si="36"/>
        <v>0.75261735653414019</v>
      </c>
      <c r="BF26" s="14"/>
      <c r="BG26" s="11">
        <v>139.99999999999991</v>
      </c>
      <c r="BH26">
        <v>0.94967184742190314</v>
      </c>
    </row>
    <row r="27" spans="2:60" s="4" customFormat="1" x14ac:dyDescent="0.25">
      <c r="B27" s="4" t="s">
        <v>110</v>
      </c>
      <c r="C27" s="5" t="s">
        <v>44</v>
      </c>
      <c r="D27" s="6">
        <f t="shared" si="37"/>
        <v>298</v>
      </c>
      <c r="E27" s="7">
        <f t="shared" si="50"/>
        <v>0.20694444444444443</v>
      </c>
      <c r="F27" s="7">
        <v>0.62569444444444444</v>
      </c>
      <c r="G27" s="8">
        <v>9.9733999999999998</v>
      </c>
      <c r="H27" s="8">
        <v>18.9085</v>
      </c>
      <c r="I27" s="8">
        <v>14.8817</v>
      </c>
      <c r="J27" s="8">
        <f t="shared" si="1"/>
        <v>4.0267999999999997</v>
      </c>
      <c r="K27" s="8">
        <f t="shared" si="2"/>
        <v>4.9083000000000006</v>
      </c>
      <c r="L27" s="13">
        <v>144670</v>
      </c>
      <c r="M27" s="13">
        <v>13841</v>
      </c>
      <c r="N27" s="13">
        <v>7883029</v>
      </c>
      <c r="O27" s="13">
        <v>131753</v>
      </c>
      <c r="P27" s="13">
        <v>2203266</v>
      </c>
      <c r="Q27" s="5">
        <f t="shared" si="3"/>
        <v>18.926159456458628</v>
      </c>
      <c r="R27" s="5">
        <f t="shared" si="4"/>
        <v>2925.2999796623958</v>
      </c>
      <c r="S27" s="5">
        <f t="shared" si="5"/>
        <v>111.61004422802645</v>
      </c>
      <c r="T27" s="5">
        <f t="shared" si="0"/>
        <v>6.2701200000000003E-4</v>
      </c>
      <c r="U27" s="5">
        <f t="shared" si="6"/>
        <v>420.55837747208778</v>
      </c>
      <c r="V27" s="5">
        <f t="shared" si="7"/>
        <v>2.3432478023041423E-2</v>
      </c>
      <c r="W27" s="5">
        <f t="shared" si="8"/>
        <v>1.7837194997941439</v>
      </c>
      <c r="X27" s="5">
        <f t="shared" si="9"/>
        <v>0.20183560398196304</v>
      </c>
      <c r="Y27" s="5">
        <f t="shared" si="10"/>
        <v>3.7860865595999997E-6</v>
      </c>
      <c r="Z27" s="5">
        <f t="shared" si="11"/>
        <v>0.27630685399916172</v>
      </c>
      <c r="AA27" s="5">
        <f t="shared" si="12"/>
        <v>1.0813082682258508E-3</v>
      </c>
      <c r="AB27" s="5">
        <f t="shared" si="13"/>
        <v>4.3294439699003455E-3</v>
      </c>
      <c r="AC27" s="5">
        <f t="shared" si="14"/>
        <v>0.12034297213864838</v>
      </c>
      <c r="AD27" s="5">
        <f t="shared" si="15"/>
        <v>2.1979529452800002E-8</v>
      </c>
      <c r="AE27" s="5">
        <f t="shared" si="16"/>
        <v>1.0118634561978432E-2</v>
      </c>
      <c r="AF27" s="5">
        <f t="shared" si="17"/>
        <v>9.9665287876116136E-5</v>
      </c>
      <c r="AG27" s="5">
        <f t="shared" si="18"/>
        <v>7.2039318916085199E-3</v>
      </c>
      <c r="AH27" s="5">
        <f t="shared" si="19"/>
        <v>1.4034310202626966E-3</v>
      </c>
      <c r="AI27" s="5">
        <f t="shared" si="20"/>
        <v>1.5353695482610457E-8</v>
      </c>
      <c r="AJ27" s="5">
        <f t="shared" si="21"/>
        <v>1.1622977337043831E-3</v>
      </c>
      <c r="AK27" s="5">
        <f t="shared" si="22"/>
        <v>2.0305459706235585E-2</v>
      </c>
      <c r="AL27" s="5">
        <f t="shared" si="23"/>
        <v>1.4677040709835421</v>
      </c>
      <c r="AM27" s="5">
        <f t="shared" si="24"/>
        <v>0.28593016324647974</v>
      </c>
      <c r="AN27" s="5">
        <f t="shared" si="25"/>
        <v>3.1281086084001499E-6</v>
      </c>
      <c r="AO27" s="5">
        <f t="shared" si="26"/>
        <v>0.23680250467664629</v>
      </c>
      <c r="AP27" s="5">
        <f t="shared" si="46"/>
        <v>2.0305459706235585E-2</v>
      </c>
      <c r="AQ27" s="5">
        <f t="shared" si="29"/>
        <v>1.4677040709835421</v>
      </c>
      <c r="AR27" s="5">
        <f t="shared" si="47"/>
        <v>0.28962076728117331</v>
      </c>
      <c r="AS27" s="5">
        <f t="shared" si="31"/>
        <v>3.1281086084001499E-6</v>
      </c>
      <c r="AT27" s="5">
        <f t="shared" si="51"/>
        <v>0.23554479751901922</v>
      </c>
      <c r="AU27" s="3">
        <f>AP27</f>
        <v>2.0305459706235585E-2</v>
      </c>
      <c r="AV27" s="3">
        <f t="shared" ref="AV27:AY27" si="58">AQ27</f>
        <v>1.4677040709835421</v>
      </c>
      <c r="AW27" s="3">
        <f t="shared" si="58"/>
        <v>0.28962076728117331</v>
      </c>
      <c r="AX27" s="3">
        <f t="shared" si="58"/>
        <v>3.1281086084001499E-6</v>
      </c>
      <c r="AY27" s="3">
        <f t="shared" si="58"/>
        <v>0.23554479751901922</v>
      </c>
      <c r="AZ27" s="4">
        <f t="shared" si="48"/>
        <v>1</v>
      </c>
      <c r="BA27" s="4">
        <f t="shared" si="49"/>
        <v>1</v>
      </c>
      <c r="BB27" s="4">
        <f t="shared" si="34"/>
        <v>1</v>
      </c>
      <c r="BC27" s="4">
        <f t="shared" si="45"/>
        <v>1</v>
      </c>
      <c r="BD27" s="4">
        <f t="shared" si="36"/>
        <v>1</v>
      </c>
      <c r="BF27" s="5"/>
      <c r="BG27" s="8">
        <v>148.00000000000003</v>
      </c>
      <c r="BH27">
        <v>1.0583991637678429</v>
      </c>
    </row>
    <row r="28" spans="2:60" x14ac:dyDescent="0.25">
      <c r="B28" s="10" t="s">
        <v>111</v>
      </c>
      <c r="C28" s="14" t="s">
        <v>117</v>
      </c>
      <c r="D28" s="12">
        <f t="shared" si="37"/>
        <v>317.99999999999989</v>
      </c>
      <c r="E28" s="9">
        <f>F28-$F$3</f>
        <v>0.22083333333333327</v>
      </c>
      <c r="F28" s="9">
        <v>0.63958333333333328</v>
      </c>
      <c r="G28" s="11">
        <v>10.0474</v>
      </c>
      <c r="H28" s="11">
        <v>18.9391</v>
      </c>
      <c r="I28" s="11">
        <v>14.6028</v>
      </c>
      <c r="J28" s="11">
        <f t="shared" si="1"/>
        <v>4.3362999999999996</v>
      </c>
      <c r="K28" s="11">
        <f t="shared" si="2"/>
        <v>4.5554000000000006</v>
      </c>
      <c r="L28" s="15">
        <v>130004</v>
      </c>
      <c r="M28" s="15">
        <v>13196</v>
      </c>
      <c r="N28" s="15">
        <v>7479645</v>
      </c>
      <c r="O28" s="15">
        <v>121679</v>
      </c>
      <c r="P28" s="15">
        <v>1963339</v>
      </c>
      <c r="Q28" s="14">
        <f t="shared" si="3"/>
        <v>17.432235588921372</v>
      </c>
      <c r="R28" s="14">
        <f t="shared" si="4"/>
        <v>2779.5471493458072</v>
      </c>
      <c r="S28" s="14">
        <f t="shared" si="5"/>
        <v>105.79868324377279</v>
      </c>
      <c r="T28" s="14">
        <f t="shared" si="0"/>
        <v>5.8671600000000004E-4</v>
      </c>
      <c r="U28" s="14">
        <f t="shared" si="6"/>
        <v>374.84580650078112</v>
      </c>
      <c r="V28" s="14">
        <f t="shared" si="7"/>
        <v>2.1582850882643549E-2</v>
      </c>
      <c r="W28" s="14">
        <f t="shared" si="8"/>
        <v>1.6948458227718337</v>
      </c>
      <c r="X28" s="14">
        <f t="shared" si="9"/>
        <v>0.1913263387780387</v>
      </c>
      <c r="Y28" s="14">
        <f t="shared" si="10"/>
        <v>3.5427672227999998E-6</v>
      </c>
      <c r="Z28" s="14">
        <f t="shared" si="11"/>
        <v>0.24627369487101325</v>
      </c>
      <c r="AA28" s="14">
        <f t="shared" si="12"/>
        <v>9.9595591590184479E-4</v>
      </c>
      <c r="AB28" s="14">
        <f t="shared" si="13"/>
        <v>4.1137297810317948E-3</v>
      </c>
      <c r="AC28" s="14">
        <f t="shared" si="14"/>
        <v>0.11407690121418179</v>
      </c>
      <c r="AD28" s="14">
        <f t="shared" si="15"/>
        <v>2.0566977350400005E-8</v>
      </c>
      <c r="AE28" s="14">
        <f t="shared" si="16"/>
        <v>9.0187901044087929E-3</v>
      </c>
      <c r="AF28" s="14">
        <f t="shared" si="17"/>
        <v>9.8126693861706469E-5</v>
      </c>
      <c r="AG28" s="14">
        <f t="shared" si="18"/>
        <v>7.3680996259300139E-3</v>
      </c>
      <c r="AH28" s="14">
        <f t="shared" si="19"/>
        <v>1.3493143186342929E-3</v>
      </c>
      <c r="AI28" s="14">
        <f t="shared" si="20"/>
        <v>1.5456192316849652E-8</v>
      </c>
      <c r="AJ28" s="14">
        <f t="shared" si="21"/>
        <v>1.1090008195107984E-3</v>
      </c>
      <c r="AK28" s="14">
        <f t="shared" si="22"/>
        <v>2.1540741507157759E-2</v>
      </c>
      <c r="AL28" s="14">
        <f t="shared" si="23"/>
        <v>1.6174429525244793</v>
      </c>
      <c r="AM28" s="14">
        <f t="shared" si="24"/>
        <v>0.2962010621755044</v>
      </c>
      <c r="AN28" s="14">
        <f t="shared" si="25"/>
        <v>3.3929385601373424E-6</v>
      </c>
      <c r="AO28" s="14">
        <f t="shared" si="26"/>
        <v>0.24344751712490631</v>
      </c>
      <c r="AP28" s="14">
        <f t="shared" si="46"/>
        <v>2.1540741507157759E-2</v>
      </c>
      <c r="AQ28" s="14">
        <f t="shared" si="29"/>
        <v>1.6174429525244793</v>
      </c>
      <c r="AR28" s="14">
        <f t="shared" si="47"/>
        <v>0.29989166621019797</v>
      </c>
      <c r="AS28" s="14">
        <f t="shared" si="31"/>
        <v>3.3929385601373424E-6</v>
      </c>
      <c r="AT28" s="14">
        <f t="shared" si="51"/>
        <v>0.24218980996727923</v>
      </c>
      <c r="AU28" s="10">
        <f>$AU$20+(($AU$31-$AU$20)/($D$31-$D$20))*(D28-$D$20)</f>
        <v>2.6251112622159078E-2</v>
      </c>
      <c r="AV28" s="10">
        <f t="shared" si="54"/>
        <v>3.6822080500641565</v>
      </c>
      <c r="AW28" s="10">
        <f t="shared" si="55"/>
        <v>0.32004020901056918</v>
      </c>
      <c r="AX28" s="10">
        <f t="shared" si="56"/>
        <v>4.0535915891921574E-6</v>
      </c>
      <c r="AY28" s="10">
        <f t="shared" si="57"/>
        <v>0.30012537229618125</v>
      </c>
      <c r="AZ28" s="10">
        <f t="shared" si="48"/>
        <v>0.82056489632271046</v>
      </c>
      <c r="BA28" s="10">
        <f t="shared" si="49"/>
        <v>0.43925898008296899</v>
      </c>
      <c r="BB28" s="10">
        <f t="shared" si="34"/>
        <v>0.93704371440494272</v>
      </c>
      <c r="BC28" s="10">
        <f t="shared" si="45"/>
        <v>0.83702032764813461</v>
      </c>
      <c r="BD28" s="10">
        <f t="shared" si="36"/>
        <v>0.80696213090665381</v>
      </c>
      <c r="BG28" s="12">
        <v>152</v>
      </c>
      <c r="BH28">
        <v>0.89672190140000341</v>
      </c>
    </row>
    <row r="29" spans="2:60" x14ac:dyDescent="0.25">
      <c r="B29" s="10" t="s">
        <v>112</v>
      </c>
      <c r="C29" s="14" t="s">
        <v>117</v>
      </c>
      <c r="D29" s="12">
        <f t="shared" si="37"/>
        <v>368.00000000000006</v>
      </c>
      <c r="E29" s="9">
        <f t="shared" ref="E29:E37" si="59">F29-$F$3</f>
        <v>0.25555555555555559</v>
      </c>
      <c r="F29" s="9">
        <v>0.6743055555555556</v>
      </c>
      <c r="G29" s="11">
        <v>9.9449000000000005</v>
      </c>
      <c r="H29" s="11">
        <v>18.802199999999999</v>
      </c>
      <c r="I29" s="11">
        <v>14.6096</v>
      </c>
      <c r="J29" s="11">
        <f t="shared" si="1"/>
        <v>4.1925999999999988</v>
      </c>
      <c r="K29" s="11">
        <f t="shared" si="2"/>
        <v>4.6646999999999998</v>
      </c>
      <c r="L29" s="15">
        <v>141724</v>
      </c>
      <c r="M29" s="15">
        <v>14109</v>
      </c>
      <c r="N29" s="15">
        <v>7581699</v>
      </c>
      <c r="O29" s="15">
        <v>124861</v>
      </c>
      <c r="P29" s="15">
        <v>2106470</v>
      </c>
      <c r="Q29" s="14">
        <f t="shared" si="3"/>
        <v>18.626070835582809</v>
      </c>
      <c r="R29" s="14">
        <f t="shared" si="4"/>
        <v>2985.8608455923891</v>
      </c>
      <c r="S29" s="14">
        <f t="shared" si="5"/>
        <v>107.26892656995088</v>
      </c>
      <c r="T29" s="14">
        <f t="shared" si="0"/>
        <v>5.9944400000000008E-4</v>
      </c>
      <c r="U29" s="14">
        <f t="shared" si="6"/>
        <v>402.11612620508328</v>
      </c>
      <c r="V29" s="14">
        <f t="shared" si="7"/>
        <v>2.3060938301535074E-2</v>
      </c>
      <c r="W29" s="14">
        <f t="shared" si="8"/>
        <v>1.8206468570685299</v>
      </c>
      <c r="X29" s="14">
        <f t="shared" si="9"/>
        <v>0.19398512680909916</v>
      </c>
      <c r="Y29" s="14">
        <f t="shared" si="10"/>
        <v>3.6196227052000003E-6</v>
      </c>
      <c r="Z29" s="14">
        <f t="shared" si="11"/>
        <v>0.26419029491673979</v>
      </c>
      <c r="AA29" s="14">
        <f t="shared" si="12"/>
        <v>1.0641633050493524E-3</v>
      </c>
      <c r="AB29" s="14">
        <f t="shared" si="13"/>
        <v>4.4190740514767355E-3</v>
      </c>
      <c r="AC29" s="14">
        <f t="shared" si="14"/>
        <v>0.1156621837294167</v>
      </c>
      <c r="AD29" s="14">
        <f t="shared" si="15"/>
        <v>2.1013149753600004E-8</v>
      </c>
      <c r="AE29" s="14">
        <f t="shared" si="16"/>
        <v>9.674913996494304E-3</v>
      </c>
      <c r="AF29" s="14">
        <f t="shared" si="17"/>
        <v>1.0164929249207963E-4</v>
      </c>
      <c r="AG29" s="14">
        <f t="shared" si="18"/>
        <v>7.65385766767344E-3</v>
      </c>
      <c r="AH29" s="14">
        <f t="shared" si="19"/>
        <v>1.3528314311024388E-3</v>
      </c>
      <c r="AI29" s="14">
        <f t="shared" si="20"/>
        <v>1.5273650193477134E-8</v>
      </c>
      <c r="AJ29" s="14">
        <f t="shared" si="21"/>
        <v>1.1527748017873699E-3</v>
      </c>
      <c r="AK29" s="14">
        <f t="shared" si="22"/>
        <v>2.1791174671914514E-2</v>
      </c>
      <c r="AL29" s="14">
        <f t="shared" si="23"/>
        <v>1.6408038389764488</v>
      </c>
      <c r="AM29" s="14">
        <f t="shared" si="24"/>
        <v>0.2900146699900184</v>
      </c>
      <c r="AN29" s="14">
        <f t="shared" si="25"/>
        <v>3.2743049271072385E-6</v>
      </c>
      <c r="AO29" s="14">
        <f t="shared" si="26"/>
        <v>0.24712731832430163</v>
      </c>
      <c r="AP29" s="14">
        <f t="shared" si="46"/>
        <v>2.1791174671914514E-2</v>
      </c>
      <c r="AQ29" s="14">
        <f t="shared" si="29"/>
        <v>1.6408038389764488</v>
      </c>
      <c r="AR29" s="14">
        <f t="shared" si="47"/>
        <v>0.29370527402471197</v>
      </c>
      <c r="AS29" s="14">
        <f t="shared" si="31"/>
        <v>3.2743049271072385E-6</v>
      </c>
      <c r="AT29" s="14">
        <f t="shared" si="51"/>
        <v>0.24586961116667455</v>
      </c>
      <c r="AU29" s="10">
        <f t="shared" ref="AU29:AU30" si="60">$AU$20+(($AU$31-$AU$20)/($D$31-$D$20))*(D29-$D$20)</f>
        <v>2.5800491049947648E-2</v>
      </c>
      <c r="AV29" s="10">
        <f t="shared" si="54"/>
        <v>3.4623725550604769</v>
      </c>
      <c r="AW29" s="10">
        <f t="shared" si="55"/>
        <v>0.31746981399414653</v>
      </c>
      <c r="AX29" s="10">
        <f t="shared" si="56"/>
        <v>4.0346655334069958E-6</v>
      </c>
      <c r="AY29" s="10">
        <f t="shared" si="57"/>
        <v>0.29716557049443448</v>
      </c>
      <c r="AZ29" s="10">
        <f t="shared" si="48"/>
        <v>0.84460309804679978</v>
      </c>
      <c r="BA29" s="10">
        <f t="shared" si="49"/>
        <v>0.47389580782643104</v>
      </c>
      <c r="BB29" s="10">
        <f t="shared" si="34"/>
        <v>0.92514393834661479</v>
      </c>
      <c r="BC29" s="10">
        <f t="shared" ref="BC29:BC37" si="61">AS29/AX29</f>
        <v>0.81154308826742194</v>
      </c>
      <c r="BD29" s="10">
        <f t="shared" si="36"/>
        <v>0.82738256237957875</v>
      </c>
      <c r="BF29" s="14"/>
      <c r="BG29" s="11">
        <v>161</v>
      </c>
      <c r="BH29">
        <v>0.98154463046421181</v>
      </c>
    </row>
    <row r="30" spans="2:60" x14ac:dyDescent="0.25">
      <c r="B30" s="10" t="s">
        <v>113</v>
      </c>
      <c r="C30" s="14" t="s">
        <v>117</v>
      </c>
      <c r="D30" s="12">
        <f t="shared" si="37"/>
        <v>413.00000000000006</v>
      </c>
      <c r="E30" s="9">
        <f t="shared" si="59"/>
        <v>0.28680555555555559</v>
      </c>
      <c r="F30" s="9">
        <v>0.7055555555555556</v>
      </c>
      <c r="G30" s="11">
        <v>10.092700000000001</v>
      </c>
      <c r="H30" s="11">
        <v>19.113199999999999</v>
      </c>
      <c r="I30" s="11">
        <v>14.539300000000001</v>
      </c>
      <c r="J30" s="11">
        <f t="shared" si="1"/>
        <v>4.5738999999999983</v>
      </c>
      <c r="K30" s="11">
        <f t="shared" si="2"/>
        <v>4.4466000000000001</v>
      </c>
      <c r="L30" s="15">
        <v>128861</v>
      </c>
      <c r="M30" s="15">
        <v>12689</v>
      </c>
      <c r="N30" s="15">
        <v>7241416</v>
      </c>
      <c r="O30" s="15">
        <v>109980</v>
      </c>
      <c r="P30" s="15">
        <v>1892063</v>
      </c>
      <c r="Q30" s="14">
        <f t="shared" si="3"/>
        <v>17.315806093449186</v>
      </c>
      <c r="R30" s="14">
        <f t="shared" si="4"/>
        <v>2664.9786455155581</v>
      </c>
      <c r="S30" s="14">
        <f t="shared" si="5"/>
        <v>102.36663161079336</v>
      </c>
      <c r="T30" s="14">
        <f t="shared" si="0"/>
        <v>5.3992000000000005E-4</v>
      </c>
      <c r="U30" s="14">
        <f t="shared" si="6"/>
        <v>361.26580421445715</v>
      </c>
      <c r="V30" s="14">
        <f t="shared" si="7"/>
        <v>2.1438699524299436E-2</v>
      </c>
      <c r="W30" s="14">
        <f t="shared" si="8"/>
        <v>1.6249869789729012</v>
      </c>
      <c r="X30" s="14">
        <f t="shared" si="9"/>
        <v>0.18511981660495871</v>
      </c>
      <c r="Y30" s="14">
        <f t="shared" si="10"/>
        <v>3.2601989360000001E-6</v>
      </c>
      <c r="Z30" s="14">
        <f t="shared" si="11"/>
        <v>0.23735163336889836</v>
      </c>
      <c r="AA30" s="14">
        <f t="shared" si="12"/>
        <v>9.8930394953703252E-4</v>
      </c>
      <c r="AB30" s="14">
        <f t="shared" si="13"/>
        <v>3.9441683953630267E-3</v>
      </c>
      <c r="AC30" s="14">
        <f t="shared" si="14"/>
        <v>0.1103763087011799</v>
      </c>
      <c r="AD30" s="14">
        <f t="shared" si="15"/>
        <v>1.8926571648000004E-8</v>
      </c>
      <c r="AE30" s="14">
        <f t="shared" si="16"/>
        <v>8.6920552493998382E-3</v>
      </c>
      <c r="AF30" s="14">
        <f t="shared" si="17"/>
        <v>1.0245750669620452E-4</v>
      </c>
      <c r="AG30" s="14">
        <f t="shared" si="18"/>
        <v>7.4500660823109705E-3</v>
      </c>
      <c r="AH30" s="14">
        <f t="shared" si="19"/>
        <v>1.3375188234400869E-3</v>
      </c>
      <c r="AI30" s="14">
        <f t="shared" si="20"/>
        <v>1.4995982806860393E-8</v>
      </c>
      <c r="AJ30" s="14">
        <f t="shared" si="21"/>
        <v>1.124272728737985E-3</v>
      </c>
      <c r="AK30" s="14">
        <f t="shared" si="22"/>
        <v>2.3041763751226671E-2</v>
      </c>
      <c r="AL30" s="14">
        <f t="shared" si="23"/>
        <v>1.6754522741669973</v>
      </c>
      <c r="AM30" s="14">
        <f t="shared" si="24"/>
        <v>0.30079584928711534</v>
      </c>
      <c r="AN30" s="14">
        <f t="shared" si="25"/>
        <v>3.3724604882068083E-6</v>
      </c>
      <c r="AO30" s="14">
        <f t="shared" si="26"/>
        <v>0.25283873717851502</v>
      </c>
      <c r="AP30" s="14">
        <f t="shared" si="46"/>
        <v>2.3041763751226671E-2</v>
      </c>
      <c r="AQ30" s="14">
        <f t="shared" si="29"/>
        <v>1.6754522741669973</v>
      </c>
      <c r="AR30" s="14">
        <f t="shared" si="47"/>
        <v>0.3044864533218089</v>
      </c>
      <c r="AS30" s="14">
        <f t="shared" si="31"/>
        <v>3.3724604882068083E-6</v>
      </c>
      <c r="AT30" s="14">
        <f t="shared" si="51"/>
        <v>0.25158103002088794</v>
      </c>
      <c r="AU30" s="10">
        <f t="shared" si="60"/>
        <v>2.539493163495736E-2</v>
      </c>
      <c r="AV30" s="10">
        <f t="shared" si="54"/>
        <v>3.2645206095571657</v>
      </c>
      <c r="AW30" s="10">
        <f t="shared" si="55"/>
        <v>0.31515645847936619</v>
      </c>
      <c r="AX30" s="10">
        <f t="shared" si="56"/>
        <v>4.0176320832003494E-6</v>
      </c>
      <c r="AY30" s="10">
        <f t="shared" si="57"/>
        <v>0.29450174887286246</v>
      </c>
      <c r="AZ30" s="10">
        <f t="shared" si="48"/>
        <v>0.90733710499572917</v>
      </c>
      <c r="BA30" s="10">
        <f t="shared" si="49"/>
        <v>0.51323072345200282</v>
      </c>
      <c r="BB30" s="10">
        <f t="shared" si="34"/>
        <v>0.96614378391913591</v>
      </c>
      <c r="BC30" s="10">
        <f t="shared" si="61"/>
        <v>0.83941496343298494</v>
      </c>
      <c r="BD30" s="10">
        <f t="shared" si="36"/>
        <v>0.85425988464841496</v>
      </c>
      <c r="BG30" s="12">
        <v>174</v>
      </c>
      <c r="BH30">
        <v>0.89081001422280104</v>
      </c>
    </row>
    <row r="31" spans="2:60" s="4" customFormat="1" x14ac:dyDescent="0.25">
      <c r="B31" s="4" t="s">
        <v>114</v>
      </c>
      <c r="C31" s="5" t="s">
        <v>45</v>
      </c>
      <c r="D31" s="6">
        <f t="shared" si="37"/>
        <v>464.00000000000006</v>
      </c>
      <c r="E31" s="7">
        <f t="shared" si="59"/>
        <v>0.32222222222222224</v>
      </c>
      <c r="F31" s="7">
        <v>0.74097222222222225</v>
      </c>
      <c r="G31" s="8">
        <v>10.046900000000001</v>
      </c>
      <c r="H31" s="8">
        <v>18.8874</v>
      </c>
      <c r="I31" s="8">
        <v>14.536300000000001</v>
      </c>
      <c r="J31" s="8">
        <f t="shared" si="1"/>
        <v>4.3510999999999989</v>
      </c>
      <c r="K31" s="8">
        <f t="shared" si="2"/>
        <v>4.4893999999999998</v>
      </c>
      <c r="L31" s="13">
        <v>153599</v>
      </c>
      <c r="M31" s="13">
        <v>23605</v>
      </c>
      <c r="N31" s="13">
        <v>7708529</v>
      </c>
      <c r="O31" s="13">
        <v>144785</v>
      </c>
      <c r="P31" s="13">
        <v>2321029</v>
      </c>
      <c r="Q31" s="5">
        <f t="shared" si="3"/>
        <v>19.835694858970569</v>
      </c>
      <c r="R31" s="5">
        <f t="shared" si="4"/>
        <v>5131.7040652611122</v>
      </c>
      <c r="S31" s="5">
        <f t="shared" si="5"/>
        <v>109.09610591675911</v>
      </c>
      <c r="T31" s="5">
        <f t="shared" si="0"/>
        <v>6.7914000000000006E-4</v>
      </c>
      <c r="U31" s="5">
        <f t="shared" si="6"/>
        <v>442.99540829935603</v>
      </c>
      <c r="V31" s="5">
        <f t="shared" si="7"/>
        <v>2.4558573804891463E-2</v>
      </c>
      <c r="W31" s="5">
        <f t="shared" si="8"/>
        <v>3.1290878446714099</v>
      </c>
      <c r="X31" s="5">
        <f t="shared" si="9"/>
        <v>0.19728939793986719</v>
      </c>
      <c r="Y31" s="5">
        <f t="shared" si="10"/>
        <v>4.1008510619999997E-6</v>
      </c>
      <c r="Z31" s="5">
        <f t="shared" si="11"/>
        <v>0.29104798325267695</v>
      </c>
      <c r="AA31" s="5">
        <f t="shared" si="12"/>
        <v>1.1332727543775657E-3</v>
      </c>
      <c r="AB31" s="5">
        <f t="shared" si="13"/>
        <v>7.5949220165864462E-3</v>
      </c>
      <c r="AC31" s="5">
        <f t="shared" si="14"/>
        <v>0.11763233072421593</v>
      </c>
      <c r="AD31" s="5">
        <f t="shared" si="15"/>
        <v>2.3806845216000002E-8</v>
      </c>
      <c r="AE31" s="5">
        <f t="shared" si="16"/>
        <v>1.0658469523682506E-2</v>
      </c>
      <c r="AF31" s="5">
        <f t="shared" si="17"/>
        <v>1.1194452518596585E-4</v>
      </c>
      <c r="AG31" s="5">
        <f t="shared" si="18"/>
        <v>1.364907076385103E-2</v>
      </c>
      <c r="AH31" s="5">
        <f t="shared" si="19"/>
        <v>1.3865244849294509E-3</v>
      </c>
      <c r="AI31" s="5">
        <f t="shared" si="20"/>
        <v>1.7950091506780905E-8</v>
      </c>
      <c r="AJ31" s="5">
        <f t="shared" si="21"/>
        <v>1.3142290130103425E-3</v>
      </c>
      <c r="AK31" s="5">
        <f t="shared" si="22"/>
        <v>2.4935297631301704E-2</v>
      </c>
      <c r="AL31" s="5">
        <f t="shared" si="23"/>
        <v>3.0402884046534129</v>
      </c>
      <c r="AM31" s="5">
        <f t="shared" si="24"/>
        <v>0.30884405152792155</v>
      </c>
      <c r="AN31" s="5">
        <f t="shared" si="25"/>
        <v>3.9983275062994845E-6</v>
      </c>
      <c r="AO31" s="5">
        <f t="shared" si="26"/>
        <v>0.29274045819270783</v>
      </c>
      <c r="AP31" s="5">
        <f t="shared" si="46"/>
        <v>2.4935297631301704E-2</v>
      </c>
      <c r="AQ31" s="5">
        <f t="shared" si="29"/>
        <v>3.0402884046534129</v>
      </c>
      <c r="AR31" s="5">
        <f t="shared" si="47"/>
        <v>0.31253465556261512</v>
      </c>
      <c r="AS31" s="5">
        <f t="shared" si="31"/>
        <v>3.9983275062994845E-6</v>
      </c>
      <c r="AT31" s="5">
        <f t="shared" si="51"/>
        <v>0.29148275103508076</v>
      </c>
      <c r="AU31" s="4">
        <f>AP31</f>
        <v>2.4935297631301704E-2</v>
      </c>
      <c r="AV31" s="4">
        <f t="shared" ref="AV31:AY31" si="62">AQ31</f>
        <v>3.0402884046534129</v>
      </c>
      <c r="AW31" s="4">
        <f t="shared" si="62"/>
        <v>0.31253465556261512</v>
      </c>
      <c r="AX31" s="4">
        <f t="shared" si="62"/>
        <v>3.9983275062994845E-6</v>
      </c>
      <c r="AY31" s="4">
        <f t="shared" si="62"/>
        <v>0.29148275103508076</v>
      </c>
      <c r="AZ31" s="4">
        <f t="shared" si="48"/>
        <v>1</v>
      </c>
      <c r="BA31" s="4">
        <f t="shared" si="49"/>
        <v>1</v>
      </c>
      <c r="BB31" s="4">
        <f t="shared" si="34"/>
        <v>1</v>
      </c>
      <c r="BC31" s="4">
        <f t="shared" si="61"/>
        <v>1</v>
      </c>
      <c r="BD31" s="4">
        <f t="shared" si="36"/>
        <v>1</v>
      </c>
      <c r="BF31" s="5"/>
      <c r="BG31" s="16">
        <v>180.99999999999991</v>
      </c>
      <c r="BH31" s="3">
        <v>1.0817896739037307</v>
      </c>
    </row>
    <row r="32" spans="2:60" x14ac:dyDescent="0.25">
      <c r="B32" s="10" t="s">
        <v>115</v>
      </c>
      <c r="C32" s="14" t="s">
        <v>117</v>
      </c>
      <c r="D32" s="12">
        <f t="shared" si="37"/>
        <v>473</v>
      </c>
      <c r="E32" s="9">
        <f t="shared" si="59"/>
        <v>0.32847222222222222</v>
      </c>
      <c r="F32" s="9">
        <v>0.74722222222222223</v>
      </c>
      <c r="G32" s="11">
        <v>9.8964999999999996</v>
      </c>
      <c r="H32" s="11">
        <v>18.901599999999998</v>
      </c>
      <c r="I32" s="11">
        <v>14.8957</v>
      </c>
      <c r="J32" s="11">
        <f t="shared" si="1"/>
        <v>4.0058999999999987</v>
      </c>
      <c r="K32" s="11">
        <f t="shared" si="2"/>
        <v>4.9992000000000001</v>
      </c>
      <c r="L32" s="15">
        <v>154471</v>
      </c>
      <c r="M32" s="15">
        <v>14925</v>
      </c>
      <c r="N32" s="15">
        <v>8218992</v>
      </c>
      <c r="O32" s="15">
        <v>141335</v>
      </c>
      <c r="P32" s="15">
        <v>2356808</v>
      </c>
      <c r="Q32" s="14">
        <f t="shared" si="3"/>
        <v>19.924519460940601</v>
      </c>
      <c r="R32" s="14">
        <f t="shared" si="4"/>
        <v>3170.2551239463992</v>
      </c>
      <c r="S32" s="14">
        <f t="shared" si="5"/>
        <v>116.45010300664141</v>
      </c>
      <c r="T32" s="14">
        <f t="shared" si="0"/>
        <v>6.6534000000000005E-4</v>
      </c>
      <c r="U32" s="14">
        <f t="shared" si="6"/>
        <v>449.81227374919024</v>
      </c>
      <c r="V32" s="14">
        <f t="shared" si="7"/>
        <v>2.4668547544590556E-2</v>
      </c>
      <c r="W32" s="14">
        <f t="shared" si="8"/>
        <v>1.9330823926502432</v>
      </c>
      <c r="X32" s="14">
        <f t="shared" si="9"/>
        <v>0.21058836627721034</v>
      </c>
      <c r="Y32" s="14">
        <f t="shared" si="10"/>
        <v>4.0175225220000002E-6</v>
      </c>
      <c r="Z32" s="14">
        <f t="shared" si="11"/>
        <v>0.29552666385321802</v>
      </c>
      <c r="AA32" s="14">
        <f t="shared" si="12"/>
        <v>1.1383475703619194E-3</v>
      </c>
      <c r="AB32" s="14">
        <f t="shared" si="13"/>
        <v>4.6919775834406707E-3</v>
      </c>
      <c r="AC32" s="14">
        <f t="shared" si="14"/>
        <v>0.12556174131639608</v>
      </c>
      <c r="AD32" s="14">
        <f t="shared" si="15"/>
        <v>2.3323094496000001E-8</v>
      </c>
      <c r="AE32" s="14">
        <f t="shared" si="16"/>
        <v>1.0822483306405518E-2</v>
      </c>
      <c r="AF32" s="14">
        <f t="shared" si="17"/>
        <v>1.0451056178262858E-4</v>
      </c>
      <c r="AG32" s="14">
        <f t="shared" si="18"/>
        <v>7.7671908910527431E-3</v>
      </c>
      <c r="AH32" s="14">
        <f t="shared" si="19"/>
        <v>1.4713041936588039E-3</v>
      </c>
      <c r="AI32" s="14">
        <f t="shared" si="20"/>
        <v>1.6210390284884202E-8</v>
      </c>
      <c r="AJ32" s="14">
        <f t="shared" si="21"/>
        <v>1.2379540212749882E-3</v>
      </c>
      <c r="AK32" s="14">
        <f t="shared" si="22"/>
        <v>2.0905457229682463E-2</v>
      </c>
      <c r="AL32" s="14">
        <f t="shared" si="23"/>
        <v>1.5536867680934436</v>
      </c>
      <c r="AM32" s="14">
        <f t="shared" si="24"/>
        <v>0.29430792800024086</v>
      </c>
      <c r="AN32" s="14">
        <f t="shared" si="25"/>
        <v>3.2425968724764367E-6</v>
      </c>
      <c r="AO32" s="14">
        <f t="shared" si="26"/>
        <v>0.24763042512301728</v>
      </c>
      <c r="AP32" s="14">
        <f t="shared" si="46"/>
        <v>2.0905457229682463E-2</v>
      </c>
      <c r="AQ32" s="14">
        <f t="shared" si="29"/>
        <v>1.5536867680934436</v>
      </c>
      <c r="AR32" s="14">
        <f t="shared" si="47"/>
        <v>0.29799853203493443</v>
      </c>
      <c r="AS32" s="14">
        <f t="shared" si="31"/>
        <v>3.2425968724764367E-6</v>
      </c>
      <c r="AT32" s="14">
        <f t="shared" si="51"/>
        <v>0.2463727179653902</v>
      </c>
      <c r="AU32" s="10">
        <f>$AU$31+(($AU$34-$AU$31)/($D$34-$D$31))*(D32-$D$31)</f>
        <v>2.5007893632023288E-2</v>
      </c>
      <c r="AV32" s="10">
        <f>$AV$31+(($AV$34-$AV$31)/($D$34-$D$31))*(D32-$D$31)</f>
        <v>3.0525092973174681</v>
      </c>
      <c r="AW32" s="10">
        <f>$AW$31+(($AW$34-$AW$31)/($D$34-$D$31))*(D32-$D$31)</f>
        <v>0.31235954143107497</v>
      </c>
      <c r="AX32" s="10">
        <f>$AX$31+(($AX$34-$AX$31)/($D$34-$D$31))*(D32-$D$31)</f>
        <v>3.995690777709997E-6</v>
      </c>
      <c r="AY32" s="10">
        <f>$AY$31+(($AY$34-$AY$31)/($D$34-$D$31))*(D32-$D$31)</f>
        <v>0.2918320981328254</v>
      </c>
      <c r="AZ32" s="10">
        <f t="shared" si="48"/>
        <v>0.83595434054919593</v>
      </c>
      <c r="BA32" s="10">
        <f t="shared" si="49"/>
        <v>0.50898674394171928</v>
      </c>
      <c r="BB32" s="10">
        <f t="shared" si="34"/>
        <v>0.95402410526553605</v>
      </c>
      <c r="BC32" s="10">
        <f t="shared" si="61"/>
        <v>0.81152347688297044</v>
      </c>
      <c r="BD32" s="10">
        <f t="shared" si="36"/>
        <v>0.84422762109346627</v>
      </c>
      <c r="BG32" s="12">
        <v>193</v>
      </c>
      <c r="BH32">
        <v>0.91034494576486125</v>
      </c>
    </row>
    <row r="33" spans="2:60" x14ac:dyDescent="0.25">
      <c r="B33" s="10" t="s">
        <v>116</v>
      </c>
      <c r="C33" s="14" t="s">
        <v>117</v>
      </c>
      <c r="D33" s="12">
        <f t="shared" si="37"/>
        <v>543.00000000000011</v>
      </c>
      <c r="E33" s="9">
        <f t="shared" si="59"/>
        <v>0.37708333333333338</v>
      </c>
      <c r="F33" s="9">
        <v>0.79583333333333339</v>
      </c>
      <c r="G33" s="11">
        <v>9.9197000000000006</v>
      </c>
      <c r="H33" s="11">
        <v>19.023099999999999</v>
      </c>
      <c r="I33" s="11">
        <v>14.815300000000001</v>
      </c>
      <c r="J33" s="11">
        <f t="shared" si="1"/>
        <v>4.2077999999999989</v>
      </c>
      <c r="K33" s="11">
        <f t="shared" si="2"/>
        <v>4.8956</v>
      </c>
      <c r="L33" s="15">
        <v>152972</v>
      </c>
      <c r="M33" s="15">
        <v>15805</v>
      </c>
      <c r="N33" s="15">
        <v>7988849</v>
      </c>
      <c r="O33" s="15">
        <v>134478</v>
      </c>
      <c r="P33" s="15">
        <v>2304847</v>
      </c>
      <c r="Q33" s="14">
        <f t="shared" si="3"/>
        <v>19.771826710535699</v>
      </c>
      <c r="R33" s="14">
        <f t="shared" si="4"/>
        <v>3369.1116986419001</v>
      </c>
      <c r="S33" s="14">
        <f t="shared" si="5"/>
        <v>113.13454252085344</v>
      </c>
      <c r="T33" s="14">
        <f t="shared" si="0"/>
        <v>6.3791200000000003E-4</v>
      </c>
      <c r="U33" s="14">
        <f t="shared" si="6"/>
        <v>439.91230042296996</v>
      </c>
      <c r="V33" s="14">
        <f t="shared" si="7"/>
        <v>2.4479498650314249E-2</v>
      </c>
      <c r="W33" s="14">
        <f t="shared" si="8"/>
        <v>2.0543364016109145</v>
      </c>
      <c r="X33" s="14">
        <f t="shared" si="9"/>
        <v>0.20459250669471138</v>
      </c>
      <c r="Y33" s="14">
        <f t="shared" si="10"/>
        <v>3.8519040295999996E-6</v>
      </c>
      <c r="Z33" s="14">
        <f t="shared" si="11"/>
        <v>0.28902238137789132</v>
      </c>
      <c r="AA33" s="14">
        <f t="shared" si="12"/>
        <v>1.1296237754530362E-3</v>
      </c>
      <c r="AB33" s="14">
        <f t="shared" si="13"/>
        <v>4.9862853139900128E-3</v>
      </c>
      <c r="AC33" s="14">
        <f t="shared" si="14"/>
        <v>0.12198675480039761</v>
      </c>
      <c r="AD33" s="14">
        <f t="shared" si="15"/>
        <v>2.2361622412800002E-8</v>
      </c>
      <c r="AE33" s="14">
        <f t="shared" si="16"/>
        <v>1.0584289948176657E-2</v>
      </c>
      <c r="AF33" s="14">
        <f t="shared" si="17"/>
        <v>1.0853502057590015E-4</v>
      </c>
      <c r="AG33" s="14">
        <f t="shared" si="18"/>
        <v>8.6686475690815733E-3</v>
      </c>
      <c r="AH33" s="14">
        <f t="shared" si="19"/>
        <v>1.4580827064708329E-3</v>
      </c>
      <c r="AI33" s="14">
        <f t="shared" si="20"/>
        <v>1.6317515334434977E-8</v>
      </c>
      <c r="AJ33" s="14">
        <f t="shared" si="21"/>
        <v>1.2679648262321843E-3</v>
      </c>
      <c r="AK33" s="14">
        <f t="shared" si="22"/>
        <v>2.2169911875132804E-2</v>
      </c>
      <c r="AL33" s="14">
        <f t="shared" si="23"/>
        <v>1.7707017667051175</v>
      </c>
      <c r="AM33" s="14">
        <f t="shared" si="24"/>
        <v>0.29783534326146599</v>
      </c>
      <c r="AN33" s="14">
        <f t="shared" si="25"/>
        <v>3.3330981563924702E-6</v>
      </c>
      <c r="AO33" s="14">
        <f t="shared" si="26"/>
        <v>0.25900090412455762</v>
      </c>
      <c r="AP33" s="14">
        <f t="shared" si="46"/>
        <v>2.2169911875132804E-2</v>
      </c>
      <c r="AQ33" s="14">
        <f t="shared" si="29"/>
        <v>1.7707017667051175</v>
      </c>
      <c r="AR33" s="14">
        <f t="shared" si="47"/>
        <v>0.30152594729615956</v>
      </c>
      <c r="AS33" s="14">
        <f t="shared" si="31"/>
        <v>3.3330981563924702E-6</v>
      </c>
      <c r="AT33" s="14">
        <f t="shared" si="51"/>
        <v>0.25774319696693054</v>
      </c>
      <c r="AU33" s="10">
        <f>$AU$31+(($AU$34-$AU$31)/($D$34-$D$31))*(D33-$D$31)</f>
        <v>2.5572529193191158E-2</v>
      </c>
      <c r="AV33" s="10">
        <f>$AV$31+(($AV$34-$AV$31)/($D$34-$D$31))*(D33-$D$31)</f>
        <v>3.1475606847045672</v>
      </c>
      <c r="AW33" s="10">
        <f>$AW$31+(($AW$34-$AW$31)/($D$34-$D$31))*(D33-$D$31)</f>
        <v>0.31099754263020707</v>
      </c>
      <c r="AX33" s="10">
        <f>$AX$31+(($AX$34-$AX$31)/($D$34-$D$31))*(D33-$D$31)</f>
        <v>3.9751828886806522E-6</v>
      </c>
      <c r="AY33" s="10">
        <f>$AY$31+(($AY$34-$AY$31)/($D$34-$D$31))*(D33-$D$31)</f>
        <v>0.29454924222639478</v>
      </c>
      <c r="AZ33" s="10">
        <f t="shared" si="48"/>
        <v>0.86694247986373119</v>
      </c>
      <c r="BA33" s="10">
        <f t="shared" si="49"/>
        <v>0.56256318593308297</v>
      </c>
      <c r="BB33" s="10">
        <f t="shared" si="34"/>
        <v>0.9695444688921232</v>
      </c>
      <c r="BC33" s="10">
        <f t="shared" si="61"/>
        <v>0.83847668138325893</v>
      </c>
      <c r="BD33" s="10">
        <f t="shared" si="36"/>
        <v>0.87504281124181404</v>
      </c>
      <c r="BF33" s="14"/>
      <c r="BG33" s="11">
        <v>201</v>
      </c>
      <c r="BH33">
        <v>0.99028394194355451</v>
      </c>
    </row>
    <row r="34" spans="2:60" s="4" customFormat="1" x14ac:dyDescent="0.25">
      <c r="B34" s="4" t="s">
        <v>0</v>
      </c>
      <c r="C34" s="5" t="s">
        <v>46</v>
      </c>
      <c r="D34" s="6">
        <f t="shared" si="37"/>
        <v>581.99999999999989</v>
      </c>
      <c r="E34" s="7">
        <f t="shared" si="59"/>
        <v>0.40416666666666662</v>
      </c>
      <c r="F34" s="7">
        <v>0.82291666666666663</v>
      </c>
      <c r="G34" s="8">
        <v>9.8551000000000002</v>
      </c>
      <c r="H34" s="8">
        <v>18.78</v>
      </c>
      <c r="I34" s="8">
        <v>14.403499999999999</v>
      </c>
      <c r="J34" s="8">
        <f t="shared" si="1"/>
        <v>4.3765000000000018</v>
      </c>
      <c r="K34" s="8">
        <f t="shared" si="2"/>
        <v>4.5483999999999991</v>
      </c>
      <c r="L34" s="13">
        <v>162433</v>
      </c>
      <c r="M34" s="13">
        <v>24975</v>
      </c>
      <c r="N34" s="13">
        <v>7685935</v>
      </c>
      <c r="O34" s="13">
        <v>144532</v>
      </c>
      <c r="P34" s="13">
        <v>2373929</v>
      </c>
      <c r="Q34" s="5">
        <f t="shared" si="3"/>
        <v>20.735553269295412</v>
      </c>
      <c r="R34" s="5">
        <f t="shared" si="4"/>
        <v>5441.2875963211536</v>
      </c>
      <c r="S34" s="5">
        <f t="shared" si="5"/>
        <v>108.77060492991227</v>
      </c>
      <c r="T34" s="5">
        <f t="shared" si="0"/>
        <v>6.7812800000000006E-4</v>
      </c>
      <c r="U34" s="5">
        <f t="shared" si="6"/>
        <v>453.0742864763937</v>
      </c>
      <c r="V34" s="5">
        <f t="shared" si="7"/>
        <v>2.567268850271465E-2</v>
      </c>
      <c r="W34" s="5">
        <f t="shared" si="8"/>
        <v>3.3178582904397276</v>
      </c>
      <c r="X34" s="5">
        <f t="shared" si="9"/>
        <v>0.19670076195525335</v>
      </c>
      <c r="Y34" s="5">
        <f t="shared" si="10"/>
        <v>4.0947403024000001E-6</v>
      </c>
      <c r="Z34" s="5">
        <f t="shared" si="11"/>
        <v>0.29766980621499067</v>
      </c>
      <c r="AA34" s="5">
        <f t="shared" si="12"/>
        <v>1.1846843649346548E-3</v>
      </c>
      <c r="AB34" s="5">
        <f t="shared" si="13"/>
        <v>8.0531056425553072E-3</v>
      </c>
      <c r="AC34" s="5">
        <f t="shared" si="14"/>
        <v>0.11728136091265325</v>
      </c>
      <c r="AD34" s="5">
        <f t="shared" si="15"/>
        <v>2.3771370163200006E-8</v>
      </c>
      <c r="AE34" s="5">
        <f t="shared" si="16"/>
        <v>1.0900967332622032E-2</v>
      </c>
      <c r="AF34" s="5">
        <f t="shared" si="17"/>
        <v>1.177449395975995E-4</v>
      </c>
      <c r="AG34" s="5">
        <f t="shared" si="18"/>
        <v>1.4557235553814073E-2</v>
      </c>
      <c r="AH34" s="5">
        <f t="shared" si="19"/>
        <v>1.3943034266722786E-3</v>
      </c>
      <c r="AI34" s="5">
        <f t="shared" si="20"/>
        <v>1.8028752633503908E-8</v>
      </c>
      <c r="AJ34" s="5">
        <f t="shared" si="21"/>
        <v>1.3523338667156052E-3</v>
      </c>
      <c r="AK34" s="5">
        <f t="shared" si="22"/>
        <v>2.5887111862984685E-2</v>
      </c>
      <c r="AL34" s="5">
        <f t="shared" si="23"/>
        <v>3.2005178862488073</v>
      </c>
      <c r="AM34" s="5">
        <f t="shared" si="24"/>
        <v>0.30654811069217286</v>
      </c>
      <c r="AN34" s="5">
        <f t="shared" si="25"/>
        <v>3.9637570647928747E-6</v>
      </c>
      <c r="AO34" s="5">
        <f t="shared" si="26"/>
        <v>0.29732078680758189</v>
      </c>
      <c r="AP34" s="5">
        <f t="shared" si="46"/>
        <v>2.5887111862984685E-2</v>
      </c>
      <c r="AQ34" s="5">
        <f t="shared" si="29"/>
        <v>3.2005178862488073</v>
      </c>
      <c r="AR34" s="5">
        <f t="shared" si="47"/>
        <v>0.31023871472686643</v>
      </c>
      <c r="AS34" s="5">
        <f t="shared" si="31"/>
        <v>3.9637570647928747E-6</v>
      </c>
      <c r="AT34" s="5">
        <f t="shared" si="51"/>
        <v>0.29606307964995482</v>
      </c>
      <c r="AU34" s="4">
        <f>AP34</f>
        <v>2.5887111862984685E-2</v>
      </c>
      <c r="AV34" s="4">
        <f t="shared" ref="AV34:AY34" si="63">AQ34</f>
        <v>3.2005178862488073</v>
      </c>
      <c r="AW34" s="4">
        <f t="shared" si="63"/>
        <v>0.31023871472686643</v>
      </c>
      <c r="AX34" s="4">
        <f t="shared" si="63"/>
        <v>3.9637570647928747E-6</v>
      </c>
      <c r="AY34" s="4">
        <f t="shared" si="63"/>
        <v>0.29606307964995482</v>
      </c>
      <c r="AZ34" s="4">
        <f t="shared" si="48"/>
        <v>1</v>
      </c>
      <c r="BA34" s="4">
        <f t="shared" si="49"/>
        <v>1</v>
      </c>
      <c r="BB34" s="4">
        <f t="shared" si="34"/>
        <v>1</v>
      </c>
      <c r="BC34" s="4">
        <f t="shared" si="61"/>
        <v>1</v>
      </c>
      <c r="BD34" s="4">
        <f t="shared" si="36"/>
        <v>1</v>
      </c>
      <c r="BG34" s="11">
        <v>217.99999999999994</v>
      </c>
      <c r="BH34">
        <v>1.0013366005791939</v>
      </c>
    </row>
    <row r="35" spans="2:60" x14ac:dyDescent="0.25">
      <c r="B35" s="10" t="s">
        <v>2</v>
      </c>
      <c r="C35" s="14" t="s">
        <v>117</v>
      </c>
      <c r="D35" s="12">
        <f t="shared" si="37"/>
        <v>617</v>
      </c>
      <c r="E35" s="9">
        <f t="shared" si="59"/>
        <v>0.4284722222222222</v>
      </c>
      <c r="F35" s="9">
        <v>0.84722222222222221</v>
      </c>
      <c r="G35" s="11">
        <v>9.8857999999999997</v>
      </c>
      <c r="H35" s="11">
        <v>18.845500000000001</v>
      </c>
      <c r="I35" s="11">
        <v>14.7227</v>
      </c>
      <c r="J35" s="11">
        <f t="shared" si="1"/>
        <v>4.1228000000000016</v>
      </c>
      <c r="K35" s="11">
        <f t="shared" si="2"/>
        <v>4.8369</v>
      </c>
      <c r="L35" s="15">
        <v>152304</v>
      </c>
      <c r="M35" s="15">
        <v>15799</v>
      </c>
      <c r="N35" s="15">
        <v>7944589</v>
      </c>
      <c r="O35" s="15">
        <v>135895</v>
      </c>
      <c r="P35" s="15">
        <v>2324014</v>
      </c>
      <c r="Q35" s="14">
        <f t="shared" si="3"/>
        <v>19.70378217599902</v>
      </c>
      <c r="R35" s="14">
        <f t="shared" si="4"/>
        <v>3367.7558583598852</v>
      </c>
      <c r="S35" s="14">
        <f t="shared" si="5"/>
        <v>112.49690980075778</v>
      </c>
      <c r="T35" s="14">
        <f t="shared" si="0"/>
        <v>6.4358000000000004E-4</v>
      </c>
      <c r="U35" s="14">
        <f t="shared" si="6"/>
        <v>443.5641313874176</v>
      </c>
      <c r="V35" s="14">
        <f t="shared" si="7"/>
        <v>2.4395252712104385E-2</v>
      </c>
      <c r="W35" s="14">
        <f t="shared" si="8"/>
        <v>2.0535096697316373</v>
      </c>
      <c r="X35" s="14">
        <f t="shared" si="9"/>
        <v>0.20343941168369037</v>
      </c>
      <c r="Y35" s="14">
        <f t="shared" si="10"/>
        <v>3.8861291140000003E-6</v>
      </c>
      <c r="Z35" s="14">
        <f t="shared" si="11"/>
        <v>0.2914216343215334</v>
      </c>
      <c r="AA35" s="14">
        <f t="shared" si="12"/>
        <v>1.1257361870613519E-3</v>
      </c>
      <c r="AB35" s="14">
        <f t="shared" si="13"/>
        <v>4.9842786703726298E-3</v>
      </c>
      <c r="AC35" s="14">
        <f t="shared" si="14"/>
        <v>0.12129923050811807</v>
      </c>
      <c r="AD35" s="14">
        <f t="shared" si="15"/>
        <v>2.2560310752000004E-8</v>
      </c>
      <c r="AE35" s="14">
        <f t="shared" si="16"/>
        <v>1.0672153001181267E-2</v>
      </c>
      <c r="AF35" s="14">
        <f t="shared" si="17"/>
        <v>1.0602182124466104E-4</v>
      </c>
      <c r="AG35" s="14">
        <f t="shared" si="18"/>
        <v>8.4903181238703222E-3</v>
      </c>
      <c r="AH35" s="14">
        <f t="shared" si="19"/>
        <v>1.4254522545342353E-3</v>
      </c>
      <c r="AI35" s="14">
        <f t="shared" si="20"/>
        <v>1.6130855078275556E-8</v>
      </c>
      <c r="AJ35" s="14">
        <f t="shared" si="21"/>
        <v>1.253093250832232E-3</v>
      </c>
      <c r="AK35" s="14">
        <f t="shared" si="22"/>
        <v>2.1919374236527744E-2</v>
      </c>
      <c r="AL35" s="14">
        <f t="shared" si="23"/>
        <v>1.755322236116174</v>
      </c>
      <c r="AM35" s="14">
        <f t="shared" si="24"/>
        <v>0.29470368511530842</v>
      </c>
      <c r="AN35" s="14">
        <f t="shared" si="25"/>
        <v>3.3349573235492891E-6</v>
      </c>
      <c r="AO35" s="14">
        <f t="shared" si="26"/>
        <v>0.25906949716393396</v>
      </c>
      <c r="AP35" s="14">
        <f t="shared" si="46"/>
        <v>2.1919374236527744E-2</v>
      </c>
      <c r="AQ35" s="14">
        <f t="shared" si="29"/>
        <v>1.755322236116174</v>
      </c>
      <c r="AR35" s="14">
        <f t="shared" si="47"/>
        <v>0.29839428915000199</v>
      </c>
      <c r="AS35" s="14">
        <f t="shared" si="31"/>
        <v>3.3349573235492891E-6</v>
      </c>
      <c r="AT35" s="14">
        <f t="shared" si="51"/>
        <v>0.25781179000630688</v>
      </c>
      <c r="AU35" s="10">
        <f>$AU$34+(($AU$37-$AU$34)/($D$37-$D$34))*(D35-$D$34)</f>
        <v>2.497383739562227E-2</v>
      </c>
      <c r="AV35" s="10">
        <f>$AV$34+(($AV$37-$AV$34)/($D$37-$D$34))*(D35-$D$34)</f>
        <v>3.0097197132501949</v>
      </c>
      <c r="AW35" s="10">
        <f>$AW$34+(($AW$37-$AW$34)/($D$37-$D$34))*(D35-$D$34)</f>
        <v>0.30571476094703864</v>
      </c>
      <c r="AX35" s="10">
        <f>$AX$34+(($AX$37-$AX$34)/($D$37-$D$34))*(D35-$D$34)</f>
        <v>3.8789369070287004E-6</v>
      </c>
      <c r="AY35" s="10">
        <f>$AY$34+(($AY$37-$AY$34)/($D$37-$D$34))*(D35-$D$34)</f>
        <v>0.2888915837131254</v>
      </c>
      <c r="AZ35" s="10">
        <f t="shared" si="48"/>
        <v>0.87769347935171749</v>
      </c>
      <c r="BA35" s="10">
        <f t="shared" si="49"/>
        <v>0.58321784197658799</v>
      </c>
      <c r="BB35" s="10">
        <f t="shared" si="34"/>
        <v>0.97605456872818508</v>
      </c>
      <c r="BC35" s="10">
        <f t="shared" si="61"/>
        <v>0.85976065181836014</v>
      </c>
      <c r="BD35" s="10">
        <f t="shared" si="36"/>
        <v>0.89241710226601367</v>
      </c>
      <c r="BF35" s="14"/>
      <c r="BG35" s="12">
        <v>236</v>
      </c>
      <c r="BH35">
        <v>0.95198519457819974</v>
      </c>
    </row>
    <row r="36" spans="2:60" x14ac:dyDescent="0.25">
      <c r="B36" s="10" t="s">
        <v>3</v>
      </c>
      <c r="C36" s="14" t="s">
        <v>117</v>
      </c>
      <c r="D36" s="12">
        <f t="shared" si="37"/>
        <v>720</v>
      </c>
      <c r="E36" s="9">
        <f t="shared" si="59"/>
        <v>0.5</v>
      </c>
      <c r="F36" s="9">
        <v>0.91875000000000007</v>
      </c>
      <c r="G36" s="11">
        <v>9.9464000000000006</v>
      </c>
      <c r="H36" s="11">
        <v>18.771899999999999</v>
      </c>
      <c r="I36" s="11">
        <v>14.576599999999999</v>
      </c>
      <c r="J36" s="11">
        <f t="shared" si="1"/>
        <v>4.1952999999999996</v>
      </c>
      <c r="K36" s="11">
        <f t="shared" si="2"/>
        <v>4.6301999999999985</v>
      </c>
      <c r="L36" s="15">
        <v>146142</v>
      </c>
      <c r="M36" s="15">
        <v>14767</v>
      </c>
      <c r="N36" s="15">
        <v>7740698</v>
      </c>
      <c r="O36" s="15">
        <v>132427</v>
      </c>
      <c r="P36" s="15">
        <v>2206707</v>
      </c>
      <c r="Q36" s="14">
        <f t="shared" si="3"/>
        <v>19.076101903820884</v>
      </c>
      <c r="R36" s="14">
        <f t="shared" si="4"/>
        <v>3134.5513298533433</v>
      </c>
      <c r="S36" s="14">
        <f t="shared" si="5"/>
        <v>109.559549363952</v>
      </c>
      <c r="T36" s="14">
        <f t="shared" si="0"/>
        <v>6.2970800000000009E-4</v>
      </c>
      <c r="U36" s="14">
        <f t="shared" si="6"/>
        <v>421.21398087108946</v>
      </c>
      <c r="V36" s="14">
        <f t="shared" si="7"/>
        <v>2.3618121767120637E-2</v>
      </c>
      <c r="W36" s="14">
        <f t="shared" si="8"/>
        <v>1.911311786495941</v>
      </c>
      <c r="X36" s="14">
        <f t="shared" si="9"/>
        <v>0.19812748906977079</v>
      </c>
      <c r="Y36" s="14">
        <f t="shared" si="10"/>
        <v>3.8023658164000002E-6</v>
      </c>
      <c r="Z36" s="14">
        <f t="shared" si="11"/>
        <v>0.27673758543230581</v>
      </c>
      <c r="AA36" s="14">
        <f t="shared" si="12"/>
        <v>1.0898749300709985E-3</v>
      </c>
      <c r="AB36" s="14">
        <f t="shared" si="13"/>
        <v>4.6391359681829478E-3</v>
      </c>
      <c r="AC36" s="14">
        <f t="shared" si="14"/>
        <v>0.11813203630393443</v>
      </c>
      <c r="AD36" s="14">
        <f t="shared" si="15"/>
        <v>2.2074036115200003E-8</v>
      </c>
      <c r="AE36" s="14">
        <f t="shared" si="16"/>
        <v>1.0134408379758411E-2</v>
      </c>
      <c r="AF36" s="14">
        <f t="shared" si="17"/>
        <v>1.0413144515081593E-4</v>
      </c>
      <c r="AG36" s="14">
        <f t="shared" si="18"/>
        <v>8.0400064652463004E-3</v>
      </c>
      <c r="AH36" s="14">
        <f t="shared" si="19"/>
        <v>1.3781792093888862E-3</v>
      </c>
      <c r="AI36" s="14">
        <f t="shared" si="20"/>
        <v>1.605427251156352E-8</v>
      </c>
      <c r="AJ36" s="14">
        <f t="shared" si="21"/>
        <v>1.2079215298441098E-3</v>
      </c>
      <c r="AK36" s="14">
        <f t="shared" si="22"/>
        <v>2.2489621431215922E-2</v>
      </c>
      <c r="AL36" s="14">
        <f t="shared" si="23"/>
        <v>1.7364274686290664</v>
      </c>
      <c r="AM36" s="14">
        <f t="shared" si="24"/>
        <v>0.29765003874322632</v>
      </c>
      <c r="AN36" s="14">
        <f t="shared" si="25"/>
        <v>3.467295691668508E-6</v>
      </c>
      <c r="AO36" s="14">
        <f t="shared" si="26"/>
        <v>0.26087891016459552</v>
      </c>
      <c r="AP36" s="14">
        <f t="shared" si="46"/>
        <v>2.2489621431215922E-2</v>
      </c>
      <c r="AQ36" s="14">
        <f t="shared" si="29"/>
        <v>1.7364274686290664</v>
      </c>
      <c r="AR36" s="14">
        <f t="shared" si="47"/>
        <v>0.30134064277791989</v>
      </c>
      <c r="AS36" s="14">
        <f t="shared" si="31"/>
        <v>3.467295691668508E-6</v>
      </c>
      <c r="AT36" s="14">
        <f t="shared" si="51"/>
        <v>0.25962120300696845</v>
      </c>
      <c r="AU36" s="10">
        <f>$AU$34+(($AU$37-$AU$34)/($D$37-$D$34))*(D36-$D$34)</f>
        <v>2.228620110595575E-2</v>
      </c>
      <c r="AV36" s="10">
        <f>$AV$34+(($AV$37-$AV$34)/($D$37-$D$34))*(D36-$D$34)</f>
        <v>2.4482279469971373</v>
      </c>
      <c r="AW36" s="10">
        <f>$AW$34+(($AW$37-$AW$34)/($D$37-$D$34))*(D36-$D$34)</f>
        <v>0.29240141125211683</v>
      </c>
      <c r="AX36" s="10">
        <f>$AX$34+(($AX$37-$AX$34)/($D$37-$D$34))*(D36-$D$34)</f>
        <v>3.629323299894131E-6</v>
      </c>
      <c r="AY36" s="10">
        <f>$AY$34+(($AY$37-$AY$34)/($D$37-$D$34))*(D36-$D$34)</f>
        <v>0.26778689567045599</v>
      </c>
      <c r="AZ36" s="10">
        <f t="shared" si="48"/>
        <v>1.0091276357192078</v>
      </c>
      <c r="BA36" s="10">
        <f t="shared" si="49"/>
        <v>0.70925890326465457</v>
      </c>
      <c r="BB36" s="10">
        <f t="shared" si="34"/>
        <v>1.0305717796898572</v>
      </c>
      <c r="BC36" s="10">
        <f t="shared" si="61"/>
        <v>0.95535597277036477</v>
      </c>
      <c r="BD36" s="10">
        <f t="shared" si="36"/>
        <v>0.96950675034697587</v>
      </c>
      <c r="BG36" s="11">
        <v>248</v>
      </c>
      <c r="BH36">
        <v>1.0103329506314582</v>
      </c>
    </row>
    <row r="37" spans="2:60" s="5" customFormat="1" x14ac:dyDescent="0.25">
      <c r="B37" s="4" t="s">
        <v>4</v>
      </c>
      <c r="C37" s="5" t="s">
        <v>47</v>
      </c>
      <c r="D37" s="6">
        <f t="shared" si="37"/>
        <v>722</v>
      </c>
      <c r="E37" s="7">
        <f t="shared" si="59"/>
        <v>0.50138888888888888</v>
      </c>
      <c r="F37" s="7">
        <v>0.92013888888888884</v>
      </c>
      <c r="G37" s="5">
        <v>9.8948999999999998</v>
      </c>
      <c r="H37" s="5">
        <v>18.8933</v>
      </c>
      <c r="I37" s="5">
        <v>14.902799999999999</v>
      </c>
      <c r="J37" s="5">
        <f t="shared" si="1"/>
        <v>3.9905000000000008</v>
      </c>
      <c r="K37" s="5">
        <f t="shared" si="2"/>
        <v>5.0078999999999994</v>
      </c>
      <c r="L37" s="13">
        <v>168004</v>
      </c>
      <c r="M37" s="13">
        <v>23027</v>
      </c>
      <c r="N37" s="13">
        <v>8083572</v>
      </c>
      <c r="O37" s="13">
        <v>161959</v>
      </c>
      <c r="P37" s="13">
        <v>2570789</v>
      </c>
      <c r="Q37" s="5">
        <f t="shared" si="3"/>
        <v>21.303032463762211</v>
      </c>
      <c r="R37" s="5">
        <f t="shared" si="4"/>
        <v>5001.0914514270225</v>
      </c>
      <c r="S37" s="5">
        <f t="shared" si="5"/>
        <v>114.49917162491175</v>
      </c>
      <c r="T37" s="5">
        <f t="shared" si="0"/>
        <v>7.478360000000001E-4</v>
      </c>
      <c r="U37" s="5">
        <f t="shared" si="6"/>
        <v>490.58143123880654</v>
      </c>
      <c r="V37" s="5">
        <f t="shared" si="7"/>
        <v>2.6375284493383996E-2</v>
      </c>
      <c r="W37" s="5">
        <f t="shared" si="8"/>
        <v>3.0494460069676967</v>
      </c>
      <c r="X37" s="5">
        <f t="shared" si="9"/>
        <v>0.20706030196649042</v>
      </c>
      <c r="Y37" s="5">
        <f t="shared" si="10"/>
        <v>4.5156581188000003E-6</v>
      </c>
      <c r="Z37" s="5">
        <f t="shared" si="11"/>
        <v>0.32231200032389595</v>
      </c>
      <c r="AA37" s="5">
        <f t="shared" si="12"/>
        <v>1.2171061537521264E-3</v>
      </c>
      <c r="AB37" s="5">
        <f t="shared" si="13"/>
        <v>7.4016153481119935E-3</v>
      </c>
      <c r="AC37" s="5">
        <f t="shared" si="14"/>
        <v>0.12345815930870299</v>
      </c>
      <c r="AD37" s="5">
        <f t="shared" si="15"/>
        <v>2.6214942278400005E-8</v>
      </c>
      <c r="AE37" s="5">
        <f t="shared" si="16"/>
        <v>1.1803389235605683E-2</v>
      </c>
      <c r="AF37" s="5">
        <f t="shared" si="17"/>
        <v>1.1134571867822412E-4</v>
      </c>
      <c r="AG37" s="5">
        <f t="shared" si="18"/>
        <v>1.2205880840306407E-2</v>
      </c>
      <c r="AH37" s="5">
        <f t="shared" si="19"/>
        <v>1.4445402509993337E-3</v>
      </c>
      <c r="AI37" s="5">
        <f t="shared" si="20"/>
        <v>1.8151015532507405E-8</v>
      </c>
      <c r="AJ37" s="5">
        <f t="shared" si="21"/>
        <v>1.3452962302454969E-3</v>
      </c>
      <c r="AK37" s="5">
        <f t="shared" si="22"/>
        <v>2.2234013993535039E-2</v>
      </c>
      <c r="AL37" s="5">
        <f t="shared" si="23"/>
        <v>2.4373251942543597</v>
      </c>
      <c r="AM37" s="5">
        <f t="shared" si="24"/>
        <v>0.28845229557286167</v>
      </c>
      <c r="AN37" s="5">
        <f t="shared" si="25"/>
        <v>3.6244764337361781E-6</v>
      </c>
      <c r="AO37" s="5">
        <f t="shared" si="26"/>
        <v>0.26863480306026422</v>
      </c>
      <c r="AP37" s="5">
        <f t="shared" si="46"/>
        <v>2.2234013993535039E-2</v>
      </c>
      <c r="AQ37" s="5">
        <f t="shared" si="29"/>
        <v>2.4373251942543597</v>
      </c>
      <c r="AR37" s="5">
        <f t="shared" si="47"/>
        <v>0.29214289960755524</v>
      </c>
      <c r="AS37" s="5">
        <f t="shared" si="31"/>
        <v>3.6244764337361781E-6</v>
      </c>
      <c r="AT37" s="5">
        <f t="shared" si="51"/>
        <v>0.26737709590263714</v>
      </c>
      <c r="AU37" s="4">
        <f>AP37</f>
        <v>2.2234013993535039E-2</v>
      </c>
      <c r="AV37" s="4">
        <f t="shared" ref="AV37:AY37" si="64">AQ37</f>
        <v>2.4373251942543597</v>
      </c>
      <c r="AW37" s="4">
        <f t="shared" si="64"/>
        <v>0.29214289960755524</v>
      </c>
      <c r="AX37" s="4">
        <f t="shared" si="64"/>
        <v>3.6244764337361781E-6</v>
      </c>
      <c r="AY37" s="4">
        <f t="shared" si="64"/>
        <v>0.26737709590263714</v>
      </c>
      <c r="AZ37" s="4">
        <f t="shared" si="48"/>
        <v>1</v>
      </c>
      <c r="BA37" s="4">
        <f t="shared" si="49"/>
        <v>1</v>
      </c>
      <c r="BB37" s="4">
        <f t="shared" si="34"/>
        <v>1</v>
      </c>
      <c r="BC37" s="4">
        <f t="shared" si="61"/>
        <v>1</v>
      </c>
      <c r="BD37" s="4">
        <f t="shared" si="36"/>
        <v>1</v>
      </c>
      <c r="BE37" s="4"/>
      <c r="BG37" s="12">
        <v>266</v>
      </c>
      <c r="BH37">
        <v>0.91471460150453254</v>
      </c>
    </row>
    <row r="38" spans="2:60" x14ac:dyDescent="0.25">
      <c r="B38" s="10" t="s">
        <v>5</v>
      </c>
      <c r="C38" s="14" t="s">
        <v>120</v>
      </c>
      <c r="D38" s="12"/>
      <c r="E38" s="9"/>
      <c r="F38" s="9"/>
      <c r="L38" s="15">
        <v>573754</v>
      </c>
      <c r="M38" s="10" t="s">
        <v>1</v>
      </c>
      <c r="N38" s="15">
        <v>428964</v>
      </c>
      <c r="O38" s="15" t="s">
        <v>1</v>
      </c>
      <c r="P38" s="15">
        <v>350460</v>
      </c>
      <c r="BF38" s="14"/>
      <c r="BG38" s="11">
        <v>278.00000000000006</v>
      </c>
      <c r="BH38">
        <v>0.98822763336017971</v>
      </c>
    </row>
    <row r="39" spans="2:60" x14ac:dyDescent="0.25">
      <c r="BF39" s="14"/>
      <c r="BG39" s="8">
        <v>298</v>
      </c>
      <c r="BH39">
        <v>0.97846016758914955</v>
      </c>
    </row>
    <row r="40" spans="2:60" x14ac:dyDescent="0.25">
      <c r="BF40" s="14"/>
      <c r="BG40" s="11">
        <v>317.99999999999989</v>
      </c>
      <c r="BH40">
        <v>0.93604880305704552</v>
      </c>
    </row>
    <row r="41" spans="2:60" x14ac:dyDescent="0.25">
      <c r="BF41" s="14"/>
      <c r="BG41" s="11">
        <v>368.00000000000006</v>
      </c>
      <c r="BH41">
        <v>1.0077625649022397</v>
      </c>
    </row>
    <row r="42" spans="2:60" x14ac:dyDescent="0.25">
      <c r="BF42" s="14"/>
      <c r="BG42" s="11">
        <v>413.00000000000006</v>
      </c>
      <c r="BH42">
        <v>0.98591428620388311</v>
      </c>
    </row>
    <row r="43" spans="2:60" x14ac:dyDescent="0.25">
      <c r="BF43" s="14"/>
      <c r="BG43" s="8">
        <v>464.00000000000006</v>
      </c>
      <c r="BH43">
        <v>1.0021077162979593</v>
      </c>
    </row>
    <row r="44" spans="2:60" x14ac:dyDescent="0.25">
      <c r="BF44" s="14"/>
      <c r="BG44" s="11">
        <v>473</v>
      </c>
      <c r="BH44">
        <v>0.9905409805164761</v>
      </c>
    </row>
    <row r="45" spans="2:60" x14ac:dyDescent="0.25">
      <c r="BF45" s="14"/>
      <c r="BG45" s="11">
        <v>543.00000000000011</v>
      </c>
      <c r="BH45">
        <v>0.98591428620388311</v>
      </c>
    </row>
    <row r="46" spans="2:60" x14ac:dyDescent="0.25">
      <c r="BF46" s="14"/>
      <c r="BG46" s="8">
        <v>581.99999999999989</v>
      </c>
      <c r="BH46">
        <v>0.99773806055828784</v>
      </c>
    </row>
    <row r="47" spans="2:60" x14ac:dyDescent="0.25">
      <c r="BF47" s="14"/>
      <c r="BG47" s="11">
        <v>617</v>
      </c>
      <c r="BH47">
        <v>0.9792312833079152</v>
      </c>
    </row>
    <row r="48" spans="2:60" x14ac:dyDescent="0.25">
      <c r="BF48" s="14"/>
      <c r="BG48" s="11">
        <v>720</v>
      </c>
      <c r="BH48">
        <v>0.96637935466182301</v>
      </c>
    </row>
    <row r="49" spans="58:60" x14ac:dyDescent="0.25">
      <c r="BF49" s="14"/>
      <c r="BG49" s="8">
        <v>722</v>
      </c>
      <c r="BH49">
        <v>0.96329489178676075</v>
      </c>
    </row>
    <row r="50" spans="58:60" x14ac:dyDescent="0.25">
      <c r="BH50"/>
    </row>
    <row r="51" spans="58:60" x14ac:dyDescent="0.25">
      <c r="BH51"/>
    </row>
    <row r="52" spans="58:60" x14ac:dyDescent="0.25">
      <c r="BH52"/>
    </row>
  </sheetData>
  <autoFilter ref="BG12:BH49" xr:uid="{0AD4ED84-AD5B-42D8-B3C3-AAC4C8D3E0C0}">
    <sortState xmlns:xlrd2="http://schemas.microsoft.com/office/spreadsheetml/2017/richdata2" ref="BG13:BH49">
      <sortCondition ref="BG12:BG49"/>
    </sortState>
  </autoFilter>
  <mergeCells count="10">
    <mergeCell ref="BG4:BH4"/>
    <mergeCell ref="AF4:AI4"/>
    <mergeCell ref="AP4:AT4"/>
    <mergeCell ref="AU4:AY4"/>
    <mergeCell ref="AZ4:BD4"/>
    <mergeCell ref="L4:P4"/>
    <mergeCell ref="Q4:U4"/>
    <mergeCell ref="V4:Z4"/>
    <mergeCell ref="AA4:AE4"/>
    <mergeCell ref="AK4:AO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Autosampler - FID</vt:lpstr>
      <vt:lpstr>Autosampler - TCD</vt:lpstr>
      <vt:lpstr>Autosampler - ECD</vt:lpstr>
      <vt:lpstr>Aqueous 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reid_lab</dc:creator>
  <cp:lastModifiedBy>Phil McGuire</cp:lastModifiedBy>
  <dcterms:created xsi:type="dcterms:W3CDTF">2017-11-13T18:12:49Z</dcterms:created>
  <dcterms:modified xsi:type="dcterms:W3CDTF">2019-01-28T16:39:32Z</dcterms:modified>
</cp:coreProperties>
</file>