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pmcgu\OneDrive - Cornell University\Documents\First Publication Tracer Tests\"/>
    </mc:Choice>
  </mc:AlternateContent>
  <xr:revisionPtr revIDLastSave="255" documentId="8_{EC28C43C-931A-4FA1-ADC6-52C17CC01AF5}" xr6:coauthVersionLast="43" xr6:coauthVersionMax="43" xr10:uidLastSave="{C7B63052-0FFB-4F2D-A5FF-FC589C9D5CFA}"/>
  <bookViews>
    <workbookView xWindow="-120" yWindow="-120" windowWidth="29040" windowHeight="15840" firstSheet="3" activeTab="3" xr2:uid="{00000000-000D-0000-FFFF-FFFF00000000}"/>
  </bookViews>
  <sheets>
    <sheet name="Autosampler - FID" sheetId="1" r:id="rId1"/>
    <sheet name="Autosampler - TCD" sheetId="2" r:id="rId2"/>
    <sheet name="Autosampler - ECD" sheetId="3" r:id="rId3"/>
    <sheet name="Aqueous Samples" sheetId="4" r:id="rId4"/>
  </sheets>
  <definedNames>
    <definedName name="_xlnm._FilterDatabase" localSheetId="3" hidden="1">'Aqueous Samples'!$BG$12:$BH$49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31" i="4" l="1"/>
  <c r="AY33" i="4"/>
  <c r="AY32" i="4"/>
  <c r="AX33" i="4"/>
  <c r="AX31" i="4"/>
  <c r="AX32" i="4"/>
  <c r="AW31" i="4"/>
  <c r="AW33" i="4"/>
  <c r="AW32" i="4"/>
  <c r="AV33" i="4"/>
  <c r="AV31" i="4"/>
  <c r="AV32" i="4"/>
  <c r="AU32" i="4"/>
  <c r="AU33" i="4"/>
  <c r="AU31" i="4"/>
  <c r="AY27" i="4"/>
  <c r="AY28" i="4"/>
  <c r="AY29" i="4"/>
  <c r="AY26" i="4"/>
  <c r="AX27" i="4"/>
  <c r="AX28" i="4"/>
  <c r="AX29" i="4"/>
  <c r="AX26" i="4"/>
  <c r="AW27" i="4"/>
  <c r="AW28" i="4"/>
  <c r="AW29" i="4"/>
  <c r="AW26" i="4"/>
  <c r="AV27" i="4"/>
  <c r="AV28" i="4"/>
  <c r="AV29" i="4"/>
  <c r="AV26" i="4"/>
  <c r="AU27" i="4"/>
  <c r="AU28" i="4"/>
  <c r="AU29" i="4"/>
  <c r="AU26" i="4"/>
  <c r="AV30" i="4"/>
  <c r="AW30" i="4"/>
  <c r="AX30" i="4"/>
  <c r="AY30" i="4"/>
  <c r="AU30" i="4"/>
  <c r="AU22" i="4"/>
  <c r="AY21" i="4"/>
  <c r="AY22" i="4"/>
  <c r="AY23" i="4"/>
  <c r="AY24" i="4"/>
  <c r="AY20" i="4"/>
  <c r="AX21" i="4"/>
  <c r="AX22" i="4"/>
  <c r="AX23" i="4"/>
  <c r="AX24" i="4"/>
  <c r="AX20" i="4"/>
  <c r="AW21" i="4"/>
  <c r="AW22" i="4"/>
  <c r="AW23" i="4"/>
  <c r="AW24" i="4"/>
  <c r="AW20" i="4"/>
  <c r="AV21" i="4"/>
  <c r="AV22" i="4"/>
  <c r="AV23" i="4"/>
  <c r="AV24" i="4"/>
  <c r="AV20" i="4"/>
  <c r="AU21" i="4"/>
  <c r="AU23" i="4"/>
  <c r="AU24" i="4"/>
  <c r="AV25" i="4"/>
  <c r="AW25" i="4"/>
  <c r="AX25" i="4"/>
  <c r="AY25" i="4"/>
  <c r="AU25" i="4"/>
  <c r="AY13" i="4"/>
  <c r="AY14" i="4"/>
  <c r="AY15" i="4"/>
  <c r="AY16" i="4"/>
  <c r="AY17" i="4"/>
  <c r="AY18" i="4"/>
  <c r="AY12" i="4"/>
  <c r="AX13" i="4"/>
  <c r="AX14" i="4"/>
  <c r="AX15" i="4"/>
  <c r="AX16" i="4"/>
  <c r="AX17" i="4"/>
  <c r="AX18" i="4"/>
  <c r="AX12" i="4"/>
  <c r="AW13" i="4"/>
  <c r="AW14" i="4"/>
  <c r="AW15" i="4"/>
  <c r="AW16" i="4"/>
  <c r="AW17" i="4"/>
  <c r="AW18" i="4"/>
  <c r="AW12" i="4"/>
  <c r="AV13" i="4"/>
  <c r="AV14" i="4"/>
  <c r="AV15" i="4"/>
  <c r="AV16" i="4"/>
  <c r="AV17" i="4"/>
  <c r="AV18" i="4"/>
  <c r="AV12" i="4"/>
  <c r="AU13" i="4"/>
  <c r="AU14" i="4"/>
  <c r="AU15" i="4"/>
  <c r="AU16" i="4"/>
  <c r="AU17" i="4"/>
  <c r="AU18" i="4"/>
  <c r="AU12" i="4"/>
  <c r="AW19" i="4"/>
  <c r="AX19" i="4"/>
  <c r="AY19" i="4"/>
  <c r="AV19" i="4"/>
  <c r="AU19" i="4"/>
  <c r="AV9" i="4"/>
  <c r="AW9" i="4"/>
  <c r="AX9" i="4"/>
  <c r="AY9" i="4"/>
  <c r="AU9" i="4"/>
  <c r="Q15" i="4"/>
  <c r="J27" i="4" l="1"/>
  <c r="K27" i="4"/>
  <c r="E29" i="4"/>
  <c r="E30" i="4"/>
  <c r="E31" i="4"/>
  <c r="E32" i="4"/>
  <c r="E33" i="4"/>
  <c r="E34" i="4"/>
  <c r="E35" i="4"/>
  <c r="E36" i="4"/>
  <c r="E37" i="4"/>
  <c r="E28" i="4"/>
  <c r="E27" i="4"/>
  <c r="D27" i="4" s="1"/>
  <c r="U27" i="4"/>
  <c r="Z27" i="4" s="1"/>
  <c r="T27" i="4"/>
  <c r="Y27" i="4" s="1"/>
  <c r="S27" i="4"/>
  <c r="X27" i="4" s="1"/>
  <c r="R27" i="4"/>
  <c r="AB27" i="4" s="1"/>
  <c r="Q27" i="4"/>
  <c r="AA27" i="4" s="1"/>
  <c r="V27" i="4" l="1"/>
  <c r="W27" i="4"/>
  <c r="AG27" i="4" s="1"/>
  <c r="AL27" i="4" s="1"/>
  <c r="AF27" i="4"/>
  <c r="AK27" i="4" s="1"/>
  <c r="AE27" i="4"/>
  <c r="AJ27" i="4" s="1"/>
  <c r="AO27" i="4" s="1"/>
  <c r="AD27" i="4"/>
  <c r="AI27" i="4" s="1"/>
  <c r="AN27" i="4" s="1"/>
  <c r="AC27" i="4"/>
  <c r="AH27" i="4" s="1"/>
  <c r="AM27" i="4" s="1"/>
  <c r="E12" i="4"/>
  <c r="U35" i="4" l="1"/>
  <c r="Z35" i="4" s="1"/>
  <c r="U36" i="4"/>
  <c r="Z36" i="4" s="1"/>
  <c r="U37" i="4"/>
  <c r="Z37" i="4" s="1"/>
  <c r="T35" i="4"/>
  <c r="AD35" i="4" s="1"/>
  <c r="T36" i="4"/>
  <c r="Y36" i="4" s="1"/>
  <c r="T37" i="4"/>
  <c r="Y37" i="4" s="1"/>
  <c r="S35" i="4"/>
  <c r="X35" i="4" s="1"/>
  <c r="S36" i="4"/>
  <c r="AC36" i="4" s="1"/>
  <c r="S37" i="4"/>
  <c r="X37" i="4" s="1"/>
  <c r="R35" i="4"/>
  <c r="W35" i="4" s="1"/>
  <c r="R36" i="4"/>
  <c r="W36" i="4" s="1"/>
  <c r="R37" i="4"/>
  <c r="AB37" i="4" s="1"/>
  <c r="Q35" i="4"/>
  <c r="V35" i="4" s="1"/>
  <c r="Q36" i="4"/>
  <c r="V36" i="4" s="1"/>
  <c r="Q37" i="4"/>
  <c r="V37" i="4" s="1"/>
  <c r="J37" i="4"/>
  <c r="K37" i="4"/>
  <c r="J36" i="4"/>
  <c r="K36" i="4"/>
  <c r="J35" i="4"/>
  <c r="K35" i="4"/>
  <c r="D37" i="4"/>
  <c r="D36" i="4"/>
  <c r="D35" i="4"/>
  <c r="AA37" i="4" l="1"/>
  <c r="W37" i="4"/>
  <c r="AG37" i="4" s="1"/>
  <c r="AL37" i="4" s="1"/>
  <c r="AB36" i="4"/>
  <c r="AG36" i="4" s="1"/>
  <c r="AL36" i="4" s="1"/>
  <c r="AF37" i="4"/>
  <c r="AK37" i="4" s="1"/>
  <c r="X36" i="4"/>
  <c r="AH36" i="4" s="1"/>
  <c r="AM36" i="4" s="1"/>
  <c r="AC35" i="4"/>
  <c r="AH35" i="4" s="1"/>
  <c r="AM35" i="4" s="1"/>
  <c r="Y35" i="4"/>
  <c r="AI35" i="4" s="1"/>
  <c r="AN35" i="4" s="1"/>
  <c r="AE37" i="4"/>
  <c r="AJ37" i="4" s="1"/>
  <c r="AO37" i="4" s="1"/>
  <c r="AA36" i="4"/>
  <c r="AF36" i="4" s="1"/>
  <c r="AK36" i="4" s="1"/>
  <c r="AB35" i="4"/>
  <c r="AG35" i="4" s="1"/>
  <c r="AL35" i="4" s="1"/>
  <c r="AD37" i="4"/>
  <c r="AI37" i="4" s="1"/>
  <c r="AN37" i="4" s="1"/>
  <c r="AE36" i="4"/>
  <c r="AJ36" i="4" s="1"/>
  <c r="AO36" i="4" s="1"/>
  <c r="AA35" i="4"/>
  <c r="AF35" i="4" s="1"/>
  <c r="AK35" i="4" s="1"/>
  <c r="AC37" i="4"/>
  <c r="AH37" i="4" s="1"/>
  <c r="AM37" i="4" s="1"/>
  <c r="AD36" i="4"/>
  <c r="AI36" i="4" s="1"/>
  <c r="AN36" i="4" s="1"/>
  <c r="AE35" i="4"/>
  <c r="AJ35" i="4" s="1"/>
  <c r="AO35" i="4" s="1"/>
  <c r="T6" i="4"/>
  <c r="T7" i="4"/>
  <c r="T16" i="4"/>
  <c r="T17" i="4"/>
  <c r="T18" i="4"/>
  <c r="T19" i="4"/>
  <c r="T20" i="4"/>
  <c r="T21" i="4"/>
  <c r="T22" i="4"/>
  <c r="T23" i="4"/>
  <c r="T24" i="4"/>
  <c r="T25" i="4"/>
  <c r="T26" i="4"/>
  <c r="T28" i="4"/>
  <c r="T29" i="4"/>
  <c r="T30" i="4"/>
  <c r="T31" i="4"/>
  <c r="T32" i="4"/>
  <c r="T33" i="4"/>
  <c r="T34" i="4"/>
  <c r="S7" i="4"/>
  <c r="S8" i="4"/>
  <c r="S15" i="4"/>
  <c r="S16" i="4"/>
  <c r="S17" i="4"/>
  <c r="S18" i="4"/>
  <c r="S19" i="4"/>
  <c r="S20" i="4"/>
  <c r="S21" i="4"/>
  <c r="S22" i="4"/>
  <c r="S23" i="4"/>
  <c r="S24" i="4"/>
  <c r="S25" i="4"/>
  <c r="S26" i="4"/>
  <c r="S28" i="4"/>
  <c r="S29" i="4"/>
  <c r="S30" i="4"/>
  <c r="S31" i="4"/>
  <c r="S32" i="4"/>
  <c r="S33" i="4"/>
  <c r="S34" i="4"/>
  <c r="S6" i="4"/>
  <c r="R7" i="4"/>
  <c r="R8" i="4"/>
  <c r="R16" i="4"/>
  <c r="R17" i="4"/>
  <c r="R18" i="4"/>
  <c r="R19" i="4"/>
  <c r="R20" i="4"/>
  <c r="R21" i="4"/>
  <c r="R22" i="4"/>
  <c r="R23" i="4"/>
  <c r="R24" i="4"/>
  <c r="R25" i="4"/>
  <c r="R26" i="4"/>
  <c r="R28" i="4"/>
  <c r="R29" i="4"/>
  <c r="R30" i="4"/>
  <c r="R31" i="4"/>
  <c r="R32" i="4"/>
  <c r="R33" i="4"/>
  <c r="R34" i="4"/>
  <c r="R6" i="4"/>
  <c r="Q7" i="4"/>
  <c r="Q8" i="4"/>
  <c r="Q16" i="4"/>
  <c r="Q17" i="4"/>
  <c r="Q18" i="4"/>
  <c r="Q19" i="4"/>
  <c r="Q20" i="4"/>
  <c r="Q21" i="4"/>
  <c r="Q22" i="4"/>
  <c r="Q23" i="4"/>
  <c r="Q24" i="4"/>
  <c r="Q25" i="4"/>
  <c r="Q26" i="4"/>
  <c r="Q28" i="4"/>
  <c r="Q29" i="4"/>
  <c r="Q30" i="4"/>
  <c r="Q31" i="4"/>
  <c r="Q32" i="4"/>
  <c r="Q33" i="4"/>
  <c r="Q34" i="4"/>
  <c r="Q6" i="4"/>
  <c r="V6" i="4" s="1"/>
  <c r="U7" i="4"/>
  <c r="U8" i="4"/>
  <c r="AE8" i="4" s="1"/>
  <c r="U9" i="4"/>
  <c r="Z9" i="4" s="1"/>
  <c r="U10" i="4"/>
  <c r="Z10" i="4" s="1"/>
  <c r="U11" i="4"/>
  <c r="U12" i="4"/>
  <c r="AE12" i="4" s="1"/>
  <c r="U13" i="4"/>
  <c r="Z13" i="4" s="1"/>
  <c r="U14" i="4"/>
  <c r="AE14" i="4" s="1"/>
  <c r="U15" i="4"/>
  <c r="U16" i="4"/>
  <c r="AE16" i="4" s="1"/>
  <c r="U17" i="4"/>
  <c r="AE17" i="4" s="1"/>
  <c r="U18" i="4"/>
  <c r="Z18" i="4" s="1"/>
  <c r="U19" i="4"/>
  <c r="U20" i="4"/>
  <c r="AE20" i="4" s="1"/>
  <c r="U21" i="4"/>
  <c r="Z21" i="4" s="1"/>
  <c r="U22" i="4"/>
  <c r="AE22" i="4" s="1"/>
  <c r="U23" i="4"/>
  <c r="U24" i="4"/>
  <c r="AE24" i="4" s="1"/>
  <c r="U25" i="4"/>
  <c r="AE25" i="4" s="1"/>
  <c r="U26" i="4"/>
  <c r="Z26" i="4" s="1"/>
  <c r="U28" i="4"/>
  <c r="U29" i="4"/>
  <c r="AE29" i="4" s="1"/>
  <c r="U30" i="4"/>
  <c r="AE30" i="4" s="1"/>
  <c r="U31" i="4"/>
  <c r="AE31" i="4" s="1"/>
  <c r="U32" i="4"/>
  <c r="U33" i="4"/>
  <c r="AE33" i="4" s="1"/>
  <c r="U34" i="4"/>
  <c r="Z34" i="4" s="1"/>
  <c r="U6" i="4"/>
  <c r="Z6" i="4" s="1"/>
  <c r="AE6" i="4" l="1"/>
  <c r="AE13" i="4"/>
  <c r="Z25" i="4"/>
  <c r="Z14" i="4"/>
  <c r="AE34" i="4"/>
  <c r="AE21" i="4"/>
  <c r="AE10" i="4"/>
  <c r="Z30" i="4"/>
  <c r="Z17" i="4"/>
  <c r="Z22" i="4"/>
  <c r="AE18" i="4"/>
  <c r="AE9" i="4"/>
  <c r="Z31" i="4"/>
  <c r="AE26" i="4"/>
  <c r="AE32" i="4"/>
  <c r="Z32" i="4"/>
  <c r="AE28" i="4"/>
  <c r="Z28" i="4"/>
  <c r="AE23" i="4"/>
  <c r="Z23" i="4"/>
  <c r="AE19" i="4"/>
  <c r="Z19" i="4"/>
  <c r="AE15" i="4"/>
  <c r="Z15" i="4"/>
  <c r="AE11" i="4"/>
  <c r="Z11" i="4"/>
  <c r="AE7" i="4"/>
  <c r="Z7" i="4"/>
  <c r="Z33" i="4"/>
  <c r="Z29" i="4"/>
  <c r="Z24" i="4"/>
  <c r="Z20" i="4"/>
  <c r="Z16" i="4"/>
  <c r="Z12" i="4"/>
  <c r="Z8" i="4"/>
  <c r="D12" i="4"/>
  <c r="E13" i="4"/>
  <c r="D13" i="4" s="1"/>
  <c r="E14" i="4"/>
  <c r="D14" i="4" s="1"/>
  <c r="E15" i="4"/>
  <c r="D15" i="4" s="1"/>
  <c r="E16" i="4"/>
  <c r="D16" i="4" s="1"/>
  <c r="AD11" i="4" l="1"/>
  <c r="AD12" i="4"/>
  <c r="AD13" i="4"/>
  <c r="AD14" i="4"/>
  <c r="AD15" i="4"/>
  <c r="AD16" i="4"/>
  <c r="AD17" i="4"/>
  <c r="AD18" i="4"/>
  <c r="AD19" i="4"/>
  <c r="AD21" i="4"/>
  <c r="Y11" i="4"/>
  <c r="Y12" i="4"/>
  <c r="Y13" i="4"/>
  <c r="Y14" i="4"/>
  <c r="Y15" i="4"/>
  <c r="Y16" i="4"/>
  <c r="Y17" i="4"/>
  <c r="Y18" i="4"/>
  <c r="Y19" i="4"/>
  <c r="Y21" i="4"/>
  <c r="AD7" i="4"/>
  <c r="T8" i="4"/>
  <c r="Y9" i="4"/>
  <c r="AA7" i="4"/>
  <c r="AA9" i="4"/>
  <c r="V11" i="4"/>
  <c r="AA12" i="4"/>
  <c r="V13" i="4"/>
  <c r="AA14" i="4"/>
  <c r="AA15" i="4"/>
  <c r="V16" i="4"/>
  <c r="V17" i="4"/>
  <c r="V18" i="4"/>
  <c r="AA19" i="4"/>
  <c r="AA20" i="4"/>
  <c r="AA21" i="4"/>
  <c r="AA22" i="4"/>
  <c r="V23" i="4"/>
  <c r="AA24" i="4"/>
  <c r="AA25" i="4"/>
  <c r="AA26" i="4"/>
  <c r="AA29" i="4"/>
  <c r="AA31" i="4"/>
  <c r="AA33" i="4"/>
  <c r="AC6" i="4"/>
  <c r="AA6" i="4"/>
  <c r="V9" i="4" l="1"/>
  <c r="AA32" i="4"/>
  <c r="V32" i="4"/>
  <c r="AA28" i="4"/>
  <c r="V28" i="4"/>
  <c r="AB31" i="4"/>
  <c r="W31" i="4"/>
  <c r="AB26" i="4"/>
  <c r="W26" i="4"/>
  <c r="AB22" i="4"/>
  <c r="W22" i="4"/>
  <c r="AB18" i="4"/>
  <c r="W18" i="4"/>
  <c r="AB14" i="4"/>
  <c r="W14" i="4"/>
  <c r="AB10" i="4"/>
  <c r="W10" i="4"/>
  <c r="AC34" i="4"/>
  <c r="X34" i="4"/>
  <c r="AC30" i="4"/>
  <c r="X30" i="4"/>
  <c r="AC25" i="4"/>
  <c r="X25" i="4"/>
  <c r="AC21" i="4"/>
  <c r="X21" i="4"/>
  <c r="AC17" i="4"/>
  <c r="X17" i="4"/>
  <c r="AC13" i="4"/>
  <c r="X13" i="4"/>
  <c r="AC9" i="4"/>
  <c r="X9" i="4"/>
  <c r="AD33" i="4"/>
  <c r="Y33" i="4"/>
  <c r="AD29" i="4"/>
  <c r="Y29" i="4"/>
  <c r="AD24" i="4"/>
  <c r="Y24" i="4"/>
  <c r="AD10" i="4"/>
  <c r="Y10" i="4"/>
  <c r="V26" i="4"/>
  <c r="W28" i="4"/>
  <c r="AB28" i="4"/>
  <c r="AB6" i="4"/>
  <c r="W6" i="4"/>
  <c r="AA8" i="4"/>
  <c r="V8" i="4"/>
  <c r="W32" i="4"/>
  <c r="AB32" i="4"/>
  <c r="W23" i="4"/>
  <c r="AB23" i="4"/>
  <c r="W19" i="4"/>
  <c r="AB19" i="4"/>
  <c r="W15" i="4"/>
  <c r="AB15" i="4"/>
  <c r="W11" i="4"/>
  <c r="AB11" i="4"/>
  <c r="W7" i="4"/>
  <c r="AB7" i="4"/>
  <c r="X31" i="4"/>
  <c r="AC31" i="4"/>
  <c r="X26" i="4"/>
  <c r="AC26" i="4"/>
  <c r="X22" i="4"/>
  <c r="AC22" i="4"/>
  <c r="X14" i="4"/>
  <c r="AC14" i="4"/>
  <c r="X10" i="4"/>
  <c r="AC10" i="4"/>
  <c r="Y34" i="4"/>
  <c r="AD34" i="4"/>
  <c r="Y30" i="4"/>
  <c r="AD30" i="4"/>
  <c r="Y25" i="4"/>
  <c r="AD25" i="4"/>
  <c r="AD20" i="4"/>
  <c r="Y20" i="4"/>
  <c r="V29" i="4"/>
  <c r="X6" i="4"/>
  <c r="AD6" i="4"/>
  <c r="Y6" i="4"/>
  <c r="AA10" i="4"/>
  <c r="V10" i="4"/>
  <c r="AB34" i="4"/>
  <c r="W34" i="4"/>
  <c r="AB30" i="4"/>
  <c r="W30" i="4"/>
  <c r="AB25" i="4"/>
  <c r="W25" i="4"/>
  <c r="AB21" i="4"/>
  <c r="W21" i="4"/>
  <c r="AB17" i="4"/>
  <c r="W17" i="4"/>
  <c r="AB13" i="4"/>
  <c r="W13" i="4"/>
  <c r="AB9" i="4"/>
  <c r="W9" i="4"/>
  <c r="AC33" i="4"/>
  <c r="X33" i="4"/>
  <c r="AC29" i="4"/>
  <c r="X29" i="4"/>
  <c r="AC24" i="4"/>
  <c r="X24" i="4"/>
  <c r="AC20" i="4"/>
  <c r="X20" i="4"/>
  <c r="AC16" i="4"/>
  <c r="X16" i="4"/>
  <c r="AC12" i="4"/>
  <c r="X12" i="4"/>
  <c r="AC8" i="4"/>
  <c r="X8" i="4"/>
  <c r="AD32" i="4"/>
  <c r="Y32" i="4"/>
  <c r="AD28" i="4"/>
  <c r="Y28" i="4"/>
  <c r="AD23" i="4"/>
  <c r="Y23" i="4"/>
  <c r="V33" i="4"/>
  <c r="AA34" i="4"/>
  <c r="V34" i="4"/>
  <c r="AA30" i="4"/>
  <c r="V30" i="4"/>
  <c r="AB33" i="4"/>
  <c r="W33" i="4"/>
  <c r="AB29" i="4"/>
  <c r="W29" i="4"/>
  <c r="AB24" i="4"/>
  <c r="W24" i="4"/>
  <c r="AB20" i="4"/>
  <c r="W20" i="4"/>
  <c r="AB16" i="4"/>
  <c r="W16" i="4"/>
  <c r="AB12" i="4"/>
  <c r="W12" i="4"/>
  <c r="AB8" i="4"/>
  <c r="W8" i="4"/>
  <c r="AC32" i="4"/>
  <c r="X32" i="4"/>
  <c r="AC28" i="4"/>
  <c r="X28" i="4"/>
  <c r="AC23" i="4"/>
  <c r="X23" i="4"/>
  <c r="AC19" i="4"/>
  <c r="X19" i="4"/>
  <c r="AC15" i="4"/>
  <c r="X15" i="4"/>
  <c r="AC11" i="4"/>
  <c r="X11" i="4"/>
  <c r="AC7" i="4"/>
  <c r="X7" i="4"/>
  <c r="AD31" i="4"/>
  <c r="Y31" i="4"/>
  <c r="AD26" i="4"/>
  <c r="Y26" i="4"/>
  <c r="AD22" i="4"/>
  <c r="Y22" i="4"/>
  <c r="AD8" i="4"/>
  <c r="Y8" i="4"/>
  <c r="V31" i="4"/>
  <c r="V7" i="4"/>
  <c r="X18" i="4"/>
  <c r="AC18" i="4"/>
  <c r="AD9" i="4"/>
  <c r="Y7" i="4"/>
  <c r="V14" i="4"/>
  <c r="AA17" i="4"/>
  <c r="AA18" i="4"/>
  <c r="V19" i="4"/>
  <c r="V24" i="4"/>
  <c r="V25" i="4"/>
  <c r="AA23" i="4"/>
  <c r="V22" i="4"/>
  <c r="V21" i="4"/>
  <c r="V20" i="4"/>
  <c r="AA16" i="4"/>
  <c r="V15" i="4"/>
  <c r="AA13" i="4"/>
  <c r="V12" i="4"/>
  <c r="AA11" i="4"/>
  <c r="K7" i="4" l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8" i="4"/>
  <c r="K29" i="4"/>
  <c r="K30" i="4"/>
  <c r="K31" i="4"/>
  <c r="K32" i="4"/>
  <c r="K33" i="4"/>
  <c r="K34" i="4"/>
  <c r="J7" i="4"/>
  <c r="J8" i="4"/>
  <c r="J9" i="4"/>
  <c r="J10" i="4"/>
  <c r="J11" i="4"/>
  <c r="J12" i="4"/>
  <c r="J13" i="4"/>
  <c r="J14" i="4"/>
  <c r="J15" i="4"/>
  <c r="AJ15" i="4" s="1"/>
  <c r="AO15" i="4" s="1"/>
  <c r="J16" i="4"/>
  <c r="J17" i="4"/>
  <c r="J18" i="4"/>
  <c r="J19" i="4"/>
  <c r="AJ19" i="4" s="1"/>
  <c r="AO19" i="4" s="1"/>
  <c r="J20" i="4"/>
  <c r="J21" i="4"/>
  <c r="J22" i="4"/>
  <c r="J23" i="4"/>
  <c r="AJ23" i="4" s="1"/>
  <c r="AO23" i="4" s="1"/>
  <c r="J24" i="4"/>
  <c r="J25" i="4"/>
  <c r="J26" i="4"/>
  <c r="J28" i="4"/>
  <c r="J29" i="4"/>
  <c r="J30" i="4"/>
  <c r="J31" i="4"/>
  <c r="J32" i="4"/>
  <c r="J33" i="4"/>
  <c r="J34" i="4"/>
  <c r="J6" i="4"/>
  <c r="K6" i="4"/>
  <c r="E18" i="4"/>
  <c r="D18" i="4" s="1"/>
  <c r="E19" i="4"/>
  <c r="D19" i="4" s="1"/>
  <c r="E20" i="4"/>
  <c r="D20" i="4" s="1"/>
  <c r="E21" i="4"/>
  <c r="D21" i="4" s="1"/>
  <c r="E22" i="4"/>
  <c r="D22" i="4" s="1"/>
  <c r="E23" i="4"/>
  <c r="D23" i="4" s="1"/>
  <c r="E24" i="4"/>
  <c r="D24" i="4" s="1"/>
  <c r="E25" i="4"/>
  <c r="D25" i="4" s="1"/>
  <c r="E26" i="4"/>
  <c r="D26" i="4" s="1"/>
  <c r="D28" i="4"/>
  <c r="D29" i="4"/>
  <c r="D30" i="4"/>
  <c r="D31" i="4"/>
  <c r="D32" i="4"/>
  <c r="D33" i="4"/>
  <c r="D34" i="4"/>
  <c r="E17" i="4"/>
  <c r="D17" i="4" s="1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6" i="1"/>
  <c r="AJ11" i="4" l="1"/>
  <c r="AO11" i="4" s="1"/>
  <c r="AJ7" i="4"/>
  <c r="AO7" i="4" s="1"/>
  <c r="AJ33" i="4"/>
  <c r="AO33" i="4" s="1"/>
  <c r="AJ29" i="4"/>
  <c r="AO29" i="4" s="1"/>
  <c r="AJ24" i="4"/>
  <c r="AO24" i="4" s="1"/>
  <c r="AJ20" i="4"/>
  <c r="AO20" i="4" s="1"/>
  <c r="AJ16" i="4"/>
  <c r="AO16" i="4" s="1"/>
  <c r="AH32" i="4"/>
  <c r="AM32" i="4" s="1"/>
  <c r="AJ32" i="4"/>
  <c r="AO32" i="4" s="1"/>
  <c r="AI28" i="4"/>
  <c r="AN28" i="4" s="1"/>
  <c r="AJ28" i="4"/>
  <c r="AO28" i="4" s="1"/>
  <c r="AJ31" i="4"/>
  <c r="AO31" i="4" s="1"/>
  <c r="AJ22" i="4"/>
  <c r="AO22" i="4" s="1"/>
  <c r="AJ14" i="4"/>
  <c r="AO14" i="4" s="1"/>
  <c r="AJ34" i="4"/>
  <c r="AO34" i="4" s="1"/>
  <c r="AJ30" i="4"/>
  <c r="AO30" i="4" s="1"/>
  <c r="AJ25" i="4"/>
  <c r="AO25" i="4" s="1"/>
  <c r="AJ17" i="4"/>
  <c r="AO17" i="4" s="1"/>
  <c r="AJ13" i="4"/>
  <c r="AO13" i="4" s="1"/>
  <c r="AJ9" i="4"/>
  <c r="AO9" i="4" s="1"/>
  <c r="AF6" i="4"/>
  <c r="AK6" i="4" s="1"/>
  <c r="AJ6" i="4"/>
  <c r="AO6" i="4" s="1"/>
  <c r="AJ26" i="4"/>
  <c r="AO26" i="4" s="1"/>
  <c r="AJ18" i="4"/>
  <c r="AO18" i="4" s="1"/>
  <c r="AJ10" i="4"/>
  <c r="AO10" i="4" s="1"/>
  <c r="AI12" i="4"/>
  <c r="AN12" i="4" s="1"/>
  <c r="AJ12" i="4"/>
  <c r="AO12" i="4" s="1"/>
  <c r="AH8" i="4"/>
  <c r="AM8" i="4" s="1"/>
  <c r="AJ8" i="4"/>
  <c r="AO8" i="4" s="1"/>
  <c r="AJ21" i="4"/>
  <c r="AO21" i="4" s="1"/>
  <c r="AF7" i="4"/>
  <c r="AK7" i="4" s="1"/>
  <c r="AH34" i="4"/>
  <c r="AM34" i="4" s="1"/>
  <c r="AI33" i="4"/>
  <c r="AN33" i="4" s="1"/>
  <c r="AH31" i="4"/>
  <c r="AM31" i="4" s="1"/>
  <c r="AF30" i="4"/>
  <c r="AK30" i="4" s="1"/>
  <c r="AI29" i="4"/>
  <c r="AN29" i="4" s="1"/>
  <c r="AI26" i="4"/>
  <c r="AN26" i="4" s="1"/>
  <c r="AI25" i="4"/>
  <c r="AN25" i="4" s="1"/>
  <c r="AG24" i="4"/>
  <c r="AL24" i="4" s="1"/>
  <c r="AI23" i="4"/>
  <c r="AN23" i="4" s="1"/>
  <c r="AF22" i="4"/>
  <c r="AK22" i="4" s="1"/>
  <c r="AF21" i="4"/>
  <c r="AK21" i="4" s="1"/>
  <c r="AF20" i="4"/>
  <c r="AK20" i="4" s="1"/>
  <c r="AI18" i="4"/>
  <c r="AN18" i="4" s="1"/>
  <c r="AH17" i="4"/>
  <c r="AM17" i="4" s="1"/>
  <c r="AI16" i="4"/>
  <c r="AN16" i="4" s="1"/>
  <c r="AI14" i="4"/>
  <c r="AN14" i="4" s="1"/>
  <c r="AG10" i="4"/>
  <c r="AL10" i="4" s="1"/>
  <c r="AG9" i="4"/>
  <c r="AL9" i="4" s="1"/>
  <c r="AH7" i="4"/>
  <c r="AM7" i="4" s="1"/>
  <c r="AI19" i="4"/>
  <c r="AN19" i="4" s="1"/>
  <c r="AI15" i="4"/>
  <c r="AN15" i="4" s="1"/>
  <c r="AI11" i="4"/>
  <c r="AN11" i="4" s="1"/>
  <c r="AG28" i="4"/>
  <c r="AL28" i="4" s="1"/>
  <c r="AH26" i="4"/>
  <c r="AM26" i="4" s="1"/>
  <c r="AF29" i="4"/>
  <c r="AK29" i="4" s="1"/>
  <c r="AG16" i="4"/>
  <c r="AL16" i="4" s="1"/>
  <c r="AH11" i="4"/>
  <c r="AM11" i="4" s="1"/>
  <c r="AF17" i="4"/>
  <c r="AK17" i="4" s="1"/>
  <c r="AG31" i="4"/>
  <c r="AL31" i="4" s="1"/>
  <c r="AH25" i="4"/>
  <c r="AM25" i="4" s="1"/>
  <c r="AI10" i="4"/>
  <c r="AN10" i="4" s="1"/>
  <c r="AG30" i="4"/>
  <c r="AL30" i="4" s="1"/>
  <c r="AH24" i="4"/>
  <c r="AM24" i="4" s="1"/>
  <c r="AF33" i="4"/>
  <c r="AK33" i="4" s="1"/>
  <c r="AF23" i="4"/>
  <c r="AK23" i="4" s="1"/>
  <c r="AG32" i="4"/>
  <c r="AL32" i="4" s="1"/>
  <c r="AH22" i="4"/>
  <c r="AM22" i="4" s="1"/>
  <c r="AG29" i="4"/>
  <c r="AL29" i="4" s="1"/>
  <c r="AH23" i="4"/>
  <c r="AM23" i="4" s="1"/>
  <c r="AI8" i="4"/>
  <c r="AN8" i="4" s="1"/>
  <c r="AF28" i="4"/>
  <c r="AK28" i="4" s="1"/>
  <c r="AH30" i="4"/>
  <c r="AM30" i="4" s="1"/>
  <c r="AI24" i="4"/>
  <c r="AN24" i="4" s="1"/>
  <c r="AI6" i="4"/>
  <c r="AN6" i="4" s="1"/>
  <c r="AI32" i="4"/>
  <c r="AN32" i="4" s="1"/>
  <c r="AF24" i="4"/>
  <c r="AK24" i="4" s="1"/>
  <c r="AG23" i="4"/>
  <c r="AL23" i="4" s="1"/>
  <c r="AH14" i="4"/>
  <c r="AM14" i="4" s="1"/>
  <c r="AF34" i="4"/>
  <c r="AK34" i="4" s="1"/>
  <c r="AG8" i="4"/>
  <c r="AL8" i="4" s="1"/>
  <c r="AI31" i="4"/>
  <c r="AN31" i="4" s="1"/>
  <c r="AF25" i="4"/>
  <c r="AK25" i="4" s="1"/>
  <c r="AG22" i="4"/>
  <c r="AL22" i="4" s="1"/>
  <c r="AF8" i="4"/>
  <c r="AK8" i="4" s="1"/>
  <c r="AG21" i="4"/>
  <c r="AL21" i="4" s="1"/>
  <c r="AH16" i="4"/>
  <c r="AM16" i="4" s="1"/>
  <c r="AH18" i="4"/>
  <c r="AM18" i="4" s="1"/>
  <c r="AF16" i="4"/>
  <c r="AK16" i="4" s="1"/>
  <c r="AG19" i="4"/>
  <c r="AL19" i="4" s="1"/>
  <c r="AH10" i="4"/>
  <c r="AM10" i="4" s="1"/>
  <c r="AG20" i="4"/>
  <c r="AL20" i="4" s="1"/>
  <c r="AH15" i="4"/>
  <c r="AM15" i="4" s="1"/>
  <c r="AF19" i="4"/>
  <c r="AK19" i="4" s="1"/>
  <c r="AG26" i="4"/>
  <c r="AL26" i="4" s="1"/>
  <c r="AH21" i="4"/>
  <c r="AM21" i="4" s="1"/>
  <c r="AF26" i="4"/>
  <c r="AK26" i="4" s="1"/>
  <c r="AG34" i="4"/>
  <c r="AL34" i="4" s="1"/>
  <c r="AH29" i="4"/>
  <c r="AM29" i="4" s="1"/>
  <c r="AI21" i="4"/>
  <c r="AN21" i="4" s="1"/>
  <c r="AI17" i="4"/>
  <c r="AN17" i="4" s="1"/>
  <c r="AI13" i="4"/>
  <c r="AN13" i="4" s="1"/>
  <c r="AI9" i="4"/>
  <c r="AN9" i="4" s="1"/>
  <c r="AF9" i="4"/>
  <c r="AK9" i="4" s="1"/>
  <c r="AG15" i="4"/>
  <c r="AL15" i="4" s="1"/>
  <c r="AI34" i="4"/>
  <c r="AN34" i="4" s="1"/>
  <c r="AG33" i="4"/>
  <c r="AL33" i="4" s="1"/>
  <c r="AH28" i="4"/>
  <c r="AM28" i="4" s="1"/>
  <c r="AI22" i="4"/>
  <c r="AN22" i="4" s="1"/>
  <c r="AF12" i="4"/>
  <c r="AK12" i="4" s="1"/>
  <c r="AG14" i="4"/>
  <c r="AL14" i="4" s="1"/>
  <c r="AH9" i="4"/>
  <c r="AM9" i="4" s="1"/>
  <c r="AR27" i="4" s="1"/>
  <c r="BB27" i="4" s="1"/>
  <c r="AH6" i="4"/>
  <c r="AM6" i="4" s="1"/>
  <c r="AG13" i="4"/>
  <c r="AL13" i="4" s="1"/>
  <c r="AI7" i="4"/>
  <c r="AN7" i="4" s="1"/>
  <c r="AF11" i="4"/>
  <c r="AK11" i="4" s="1"/>
  <c r="AP27" i="4" s="1"/>
  <c r="AG11" i="4"/>
  <c r="AL11" i="4" s="1"/>
  <c r="AI30" i="4"/>
  <c r="AN30" i="4" s="1"/>
  <c r="AG12" i="4"/>
  <c r="AL12" i="4" s="1"/>
  <c r="AG18" i="4"/>
  <c r="AL18" i="4" s="1"/>
  <c r="AH13" i="4"/>
  <c r="AM13" i="4" s="1"/>
  <c r="AG6" i="4"/>
  <c r="AL6" i="4" s="1"/>
  <c r="AG25" i="4"/>
  <c r="AL25" i="4" s="1"/>
  <c r="AH20" i="4"/>
  <c r="AM20" i="4" s="1"/>
  <c r="AF31" i="4"/>
  <c r="AK31" i="4" s="1"/>
  <c r="AF13" i="4"/>
  <c r="AK13" i="4" s="1"/>
  <c r="AG7" i="4"/>
  <c r="AL7" i="4" s="1"/>
  <c r="AH19" i="4"/>
  <c r="AM19" i="4" s="1"/>
  <c r="AF32" i="4"/>
  <c r="AK32" i="4" s="1"/>
  <c r="AF10" i="4"/>
  <c r="AK10" i="4" s="1"/>
  <c r="AH33" i="4"/>
  <c r="AM33" i="4" s="1"/>
  <c r="AF18" i="4"/>
  <c r="AK18" i="4" s="1"/>
  <c r="AF15" i="4"/>
  <c r="AK15" i="4" s="1"/>
  <c r="AI20" i="4"/>
  <c r="AN20" i="4" s="1"/>
  <c r="AG17" i="4"/>
  <c r="AL17" i="4" s="1"/>
  <c r="AH12" i="4"/>
  <c r="AM12" i="4" s="1"/>
  <c r="AF14" i="4"/>
  <c r="AK14" i="4" s="1"/>
  <c r="AQ27" i="4" l="1"/>
  <c r="AZ27" i="4"/>
  <c r="AT27" i="4"/>
  <c r="AS27" i="4"/>
  <c r="AQ18" i="4"/>
  <c r="AS18" i="4"/>
  <c r="AT18" i="4"/>
  <c r="AR18" i="4"/>
  <c r="AP37" i="4"/>
  <c r="AU37" i="4" s="1"/>
  <c r="AP36" i="4"/>
  <c r="AP35" i="4"/>
  <c r="AT37" i="4"/>
  <c r="AT36" i="4"/>
  <c r="AT35" i="4"/>
  <c r="AS35" i="4"/>
  <c r="AS36" i="4"/>
  <c r="AS37" i="4"/>
  <c r="AX37" i="4" s="1"/>
  <c r="AT13" i="4"/>
  <c r="AT16" i="4"/>
  <c r="AT17" i="4"/>
  <c r="AT14" i="4"/>
  <c r="AT15" i="4"/>
  <c r="AR36" i="4"/>
  <c r="AR35" i="4"/>
  <c r="AR37" i="4"/>
  <c r="AQ36" i="4"/>
  <c r="AQ35" i="4"/>
  <c r="AQ37" i="4"/>
  <c r="AV37" i="4" s="1"/>
  <c r="AT33" i="4"/>
  <c r="AT19" i="4"/>
  <c r="AT20" i="4"/>
  <c r="AT12" i="4"/>
  <c r="AT21" i="4"/>
  <c r="AT29" i="4"/>
  <c r="AT26" i="4"/>
  <c r="AT23" i="4"/>
  <c r="AT25" i="4"/>
  <c r="AT22" i="4"/>
  <c r="AT28" i="4"/>
  <c r="AT24" i="4"/>
  <c r="AR16" i="4"/>
  <c r="AR33" i="4"/>
  <c r="AR29" i="4"/>
  <c r="AR26" i="4"/>
  <c r="AR23" i="4"/>
  <c r="AR13" i="4"/>
  <c r="AR15" i="4"/>
  <c r="AR30" i="4"/>
  <c r="AR25" i="4"/>
  <c r="AR17" i="4"/>
  <c r="AT30" i="4"/>
  <c r="AT31" i="4"/>
  <c r="AT32" i="4"/>
  <c r="AR14" i="4"/>
  <c r="AR31" i="4"/>
  <c r="AR12" i="4"/>
  <c r="AR19" i="4"/>
  <c r="AR20" i="4"/>
  <c r="AR28" i="4"/>
  <c r="AR21" i="4"/>
  <c r="AR22" i="4"/>
  <c r="AR24" i="4"/>
  <c r="AR34" i="4"/>
  <c r="AT34" i="4"/>
  <c r="AR32" i="4"/>
  <c r="AS15" i="4"/>
  <c r="AS19" i="4"/>
  <c r="AS23" i="4"/>
  <c r="AS28" i="4"/>
  <c r="AS32" i="4"/>
  <c r="AS13" i="4"/>
  <c r="AS26" i="4"/>
  <c r="AS16" i="4"/>
  <c r="AS20" i="4"/>
  <c r="AS24" i="4"/>
  <c r="AS29" i="4"/>
  <c r="AS33" i="4"/>
  <c r="AS14" i="4"/>
  <c r="AS22" i="4"/>
  <c r="AS12" i="4"/>
  <c r="AS17" i="4"/>
  <c r="AS21" i="4"/>
  <c r="AS25" i="4"/>
  <c r="AS30" i="4"/>
  <c r="AS34" i="4"/>
  <c r="AX34" i="4" s="1"/>
  <c r="AS31" i="4"/>
  <c r="AQ15" i="4"/>
  <c r="AQ19" i="4"/>
  <c r="AQ23" i="4"/>
  <c r="AQ28" i="4"/>
  <c r="AQ32" i="4"/>
  <c r="AQ13" i="4"/>
  <c r="AQ26" i="4"/>
  <c r="AQ16" i="4"/>
  <c r="AQ20" i="4"/>
  <c r="AQ24" i="4"/>
  <c r="AQ29" i="4"/>
  <c r="AQ33" i="4"/>
  <c r="AQ14" i="4"/>
  <c r="AQ31" i="4"/>
  <c r="AQ17" i="4"/>
  <c r="AQ21" i="4"/>
  <c r="AQ25" i="4"/>
  <c r="AQ30" i="4"/>
  <c r="AQ34" i="4"/>
  <c r="AV34" i="4" s="1"/>
  <c r="AQ22" i="4"/>
  <c r="AQ12" i="4"/>
  <c r="AP14" i="4"/>
  <c r="AP12" i="4"/>
  <c r="AP13" i="4"/>
  <c r="AP15" i="4"/>
  <c r="AP32" i="4"/>
  <c r="AP30" i="4"/>
  <c r="AP31" i="4"/>
  <c r="AP26" i="4"/>
  <c r="AP16" i="4"/>
  <c r="AP23" i="4"/>
  <c r="AP20" i="4"/>
  <c r="AP18" i="4"/>
  <c r="AP34" i="4"/>
  <c r="AU34" i="4" s="1"/>
  <c r="AP24" i="4"/>
  <c r="AP33" i="4"/>
  <c r="AP21" i="4"/>
  <c r="AP22" i="4"/>
  <c r="AP25" i="4"/>
  <c r="AP28" i="4"/>
  <c r="AP29" i="4"/>
  <c r="AP19" i="4"/>
  <c r="AP17" i="4"/>
  <c r="BA25" i="4" l="1"/>
  <c r="BA29" i="4"/>
  <c r="BA26" i="4"/>
  <c r="BA30" i="4"/>
  <c r="BA23" i="4"/>
  <c r="BA24" i="4"/>
  <c r="BA28" i="4"/>
  <c r="BB17" i="4"/>
  <c r="BD30" i="4"/>
  <c r="BD27" i="4"/>
  <c r="BC12" i="4"/>
  <c r="BA33" i="4"/>
  <c r="BA32" i="4"/>
  <c r="BA16" i="4"/>
  <c r="BD18" i="4"/>
  <c r="BD19" i="4"/>
  <c r="BC27" i="4"/>
  <c r="BA27" i="4"/>
  <c r="AW34" i="4"/>
  <c r="BB34" i="4" s="1"/>
  <c r="AW37" i="4"/>
  <c r="BB37" i="4" s="1"/>
  <c r="BA31" i="4"/>
  <c r="AY37" i="4"/>
  <c r="BD37" i="4" s="1"/>
  <c r="AY34" i="4"/>
  <c r="AX36" i="4"/>
  <c r="BC36" i="4" s="1"/>
  <c r="BA37" i="4"/>
  <c r="BA34" i="4"/>
  <c r="BB33" i="4" l="1"/>
  <c r="BB32" i="4"/>
  <c r="BD33" i="4"/>
  <c r="BD21" i="4"/>
  <c r="AW36" i="4"/>
  <c r="BB36" i="4" s="1"/>
  <c r="BD20" i="4"/>
  <c r="BD23" i="4"/>
  <c r="BB15" i="4"/>
  <c r="BB18" i="4"/>
  <c r="BB20" i="4"/>
  <c r="BB24" i="4"/>
  <c r="BB21" i="4"/>
  <c r="BB19" i="4"/>
  <c r="BB22" i="4"/>
  <c r="BB23" i="4"/>
  <c r="BB12" i="4"/>
  <c r="BB13" i="4"/>
  <c r="BB31" i="4"/>
  <c r="BB29" i="4"/>
  <c r="BB26" i="4"/>
  <c r="BB28" i="4"/>
  <c r="BB14" i="4"/>
  <c r="AW35" i="4"/>
  <c r="BB35" i="4" s="1"/>
  <c r="BB30" i="4"/>
  <c r="BB25" i="4"/>
  <c r="BB16" i="4"/>
  <c r="AY35" i="4"/>
  <c r="BD35" i="4" s="1"/>
  <c r="AY36" i="4"/>
  <c r="BD36" i="4" s="1"/>
  <c r="BD26" i="4"/>
  <c r="BD28" i="4"/>
  <c r="BD29" i="4"/>
  <c r="BD34" i="4"/>
  <c r="BD25" i="4"/>
  <c r="BD22" i="4"/>
  <c r="BD24" i="4"/>
  <c r="BD32" i="4"/>
  <c r="BC37" i="4"/>
  <c r="AX35" i="4"/>
  <c r="BC35" i="4" s="1"/>
  <c r="AV36" i="4"/>
  <c r="BA36" i="4" s="1"/>
  <c r="AV35" i="4"/>
  <c r="BA35" i="4" s="1"/>
  <c r="BC13" i="4"/>
  <c r="BA15" i="4"/>
  <c r="BC16" i="4"/>
  <c r="BA14" i="4"/>
  <c r="BA13" i="4"/>
  <c r="BA12" i="4"/>
  <c r="BC30" i="4"/>
  <c r="BC15" i="4"/>
  <c r="BA21" i="4"/>
  <c r="BA19" i="4"/>
  <c r="BA17" i="4"/>
  <c r="BA18" i="4"/>
  <c r="BA22" i="4"/>
  <c r="BA20" i="4"/>
  <c r="BC20" i="4"/>
  <c r="BC21" i="4"/>
  <c r="BC19" i="4"/>
  <c r="BC18" i="4"/>
  <c r="BC22" i="4"/>
  <c r="BC17" i="4"/>
  <c r="BC14" i="4"/>
  <c r="BC26" i="4"/>
  <c r="BC33" i="4"/>
  <c r="BC24" i="4"/>
  <c r="BC25" i="4"/>
  <c r="BC28" i="4"/>
  <c r="BC23" i="4"/>
  <c r="BC29" i="4"/>
  <c r="BC34" i="4"/>
  <c r="BC32" i="4"/>
  <c r="BC31" i="4"/>
  <c r="AZ34" i="4" l="1"/>
  <c r="AZ37" i="4" l="1"/>
  <c r="AU36" i="4"/>
  <c r="AZ36" i="4" s="1"/>
  <c r="AU35" i="4"/>
  <c r="AZ35" i="4" s="1"/>
  <c r="BD13" i="4" l="1"/>
  <c r="BD16" i="4"/>
  <c r="BD12" i="4"/>
  <c r="BD17" i="4"/>
  <c r="BD15" i="4"/>
  <c r="BD14" i="4"/>
  <c r="BD31" i="4"/>
  <c r="AZ17" i="4" l="1"/>
  <c r="AZ12" i="4"/>
  <c r="AZ19" i="4"/>
  <c r="AZ16" i="4"/>
  <c r="AZ15" i="4"/>
  <c r="AZ13" i="4"/>
  <c r="AZ14" i="4"/>
  <c r="AZ18" i="4"/>
  <c r="AZ25" i="4" l="1"/>
  <c r="AU20" i="4"/>
  <c r="AZ23" i="4" s="1"/>
  <c r="AZ24" i="4"/>
  <c r="AZ30" i="4" l="1"/>
  <c r="AZ29" i="4"/>
  <c r="AZ22" i="4"/>
  <c r="AZ20" i="4"/>
  <c r="AZ26" i="4"/>
  <c r="AZ28" i="4"/>
  <c r="AZ21" i="4"/>
  <c r="AZ32" i="4"/>
  <c r="AZ31" i="4"/>
  <c r="AZ33" i="4"/>
</calcChain>
</file>

<file path=xl/sharedStrings.xml><?xml version="1.0" encoding="utf-8"?>
<sst xmlns="http://schemas.openxmlformats.org/spreadsheetml/2006/main" count="468" uniqueCount="124">
  <si>
    <t>Vial 29.gcd</t>
  </si>
  <si>
    <t>-----</t>
  </si>
  <si>
    <t>Vial 30.gcd</t>
  </si>
  <si>
    <t>Vial 31.gcd</t>
  </si>
  <si>
    <t>Vial 32.gcd</t>
  </si>
  <si>
    <t>Vial 33.gcd</t>
  </si>
  <si>
    <t>Vial 34.gcd</t>
  </si>
  <si>
    <t>Vial 35.gcd</t>
  </si>
  <si>
    <t>Vial 36.gcd</t>
  </si>
  <si>
    <t>Vial 37.gcd</t>
  </si>
  <si>
    <t>Vial 38.gcd</t>
  </si>
  <si>
    <t>Vial 39.gcd</t>
  </si>
  <si>
    <t>Vial 40.gcd</t>
  </si>
  <si>
    <t>Vial 41.gcd</t>
  </si>
  <si>
    <t>Vial 42.gcd</t>
  </si>
  <si>
    <t>Vial 43.gcd</t>
  </si>
  <si>
    <t>Vial 44.gcd</t>
  </si>
  <si>
    <t>Vial 45.gcd</t>
  </si>
  <si>
    <t>Vial 46.gcd</t>
  </si>
  <si>
    <t>Vial 47.gcd</t>
  </si>
  <si>
    <t>Vial 48.gcd</t>
  </si>
  <si>
    <t>Vial 49.gcd</t>
  </si>
  <si>
    <t>Vial 50.gcd</t>
  </si>
  <si>
    <t>Vial 51.gcd</t>
  </si>
  <si>
    <t>Vial 52.gcd</t>
  </si>
  <si>
    <t>Vial 53.gcd</t>
  </si>
  <si>
    <t>Vial 54.gcd</t>
  </si>
  <si>
    <t>Vial 55.gcd</t>
  </si>
  <si>
    <t>Vial 56.gcd</t>
  </si>
  <si>
    <t>Vial 57.gcd</t>
  </si>
  <si>
    <t>Vial 58.gcd</t>
  </si>
  <si>
    <t>Vial 59.gcd</t>
  </si>
  <si>
    <t>Vial 60.gcd</t>
  </si>
  <si>
    <t>Data Filename</t>
  </si>
  <si>
    <t>Area</t>
  </si>
  <si>
    <t>Ethane</t>
  </si>
  <si>
    <t>SF6</t>
  </si>
  <si>
    <t>N2O</t>
  </si>
  <si>
    <t>Helium</t>
  </si>
  <si>
    <t>Description</t>
  </si>
  <si>
    <t>Tracer Sol 1</t>
  </si>
  <si>
    <t>Tracer Sol 2</t>
  </si>
  <si>
    <t>Tracer Sol 3</t>
  </si>
  <si>
    <t>Tracer Sol 4</t>
  </si>
  <si>
    <t>Tracer Sol 5</t>
  </si>
  <si>
    <t>Tracer Sol 6</t>
  </si>
  <si>
    <t>Tracer Sol 7</t>
  </si>
  <si>
    <t>Tracer Sol 8</t>
  </si>
  <si>
    <t>Port 2D</t>
  </si>
  <si>
    <t>Port 1C</t>
  </si>
  <si>
    <t>Port 3B</t>
  </si>
  <si>
    <t>Eff 3 T1</t>
  </si>
  <si>
    <t>Eff 3 T2</t>
  </si>
  <si>
    <t>Eff 3 T3</t>
  </si>
  <si>
    <t>Eff 3 T4</t>
  </si>
  <si>
    <t>Eff 3 T5</t>
  </si>
  <si>
    <t>Eff 3 T6</t>
  </si>
  <si>
    <t>Eff 3 T7</t>
  </si>
  <si>
    <t>Port 2C</t>
  </si>
  <si>
    <t>Eff 3 T8</t>
  </si>
  <si>
    <t>Eff 3 T9</t>
  </si>
  <si>
    <t>Eff 3 T10</t>
  </si>
  <si>
    <t>Eff 3 T11</t>
  </si>
  <si>
    <t>Eff 3 T12</t>
  </si>
  <si>
    <t>Eff 3 T13</t>
  </si>
  <si>
    <t>Eff 3 T14</t>
  </si>
  <si>
    <t>Eff 3 T15</t>
  </si>
  <si>
    <t>Eff 3 T16</t>
  </si>
  <si>
    <t>Eff 3 T17</t>
  </si>
  <si>
    <t>Time</t>
  </si>
  <si>
    <t>Timepoint</t>
  </si>
  <si>
    <t>Timepoint (min)</t>
  </si>
  <si>
    <t>Peak Areas</t>
  </si>
  <si>
    <t>Empty Vial (g)</t>
  </si>
  <si>
    <t>Vial &amp; Sample (g)</t>
  </si>
  <si>
    <t>Vial &amp; Displaced Sample (g)</t>
  </si>
  <si>
    <t>Headspace Volume (mL)</t>
  </si>
  <si>
    <t>Aqueous Volume (mL)</t>
  </si>
  <si>
    <t>Nitrous Oxide</t>
  </si>
  <si>
    <t>Sulfur Hexafluoride</t>
  </si>
  <si>
    <t>Headspace Gas Concentration (mg/L) [Assuming headspace is N2]</t>
  </si>
  <si>
    <t>Partitioned Aqueous Concentrations (mg/L) [Henry's Law Gas Conversion Sheet]</t>
  </si>
  <si>
    <t>Total Mass in Vial (mg)</t>
  </si>
  <si>
    <t>Initial Concentration Prior to Equilibrium (mg/L)</t>
  </si>
  <si>
    <t>Zeroed Concentrations (mg/L)</t>
  </si>
  <si>
    <t>Corrected Tracer Solution (mg/L)</t>
  </si>
  <si>
    <t>Normalized Concentrations</t>
  </si>
  <si>
    <t>Bromide</t>
  </si>
  <si>
    <t>Normalized C/C0</t>
  </si>
  <si>
    <t>Vial 1.gcd</t>
  </si>
  <si>
    <t>Vial 2.gcd</t>
  </si>
  <si>
    <t>Vial 3.gcd</t>
  </si>
  <si>
    <t>Vial 4.gcd</t>
  </si>
  <si>
    <t>Vial 5.gcd</t>
  </si>
  <si>
    <t>Vial 6.gcd</t>
  </si>
  <si>
    <t>Vial 7.gcd</t>
  </si>
  <si>
    <t>Vial 8.gcd</t>
  </si>
  <si>
    <t>Vial 9.gcd</t>
  </si>
  <si>
    <t>Vial 10.gcd</t>
  </si>
  <si>
    <t>Vial 11.gcd</t>
  </si>
  <si>
    <t>Vial 12.gcd</t>
  </si>
  <si>
    <t>Vial 13.gcd</t>
  </si>
  <si>
    <t>Vial 14.gcd</t>
  </si>
  <si>
    <t>Vial 15.gcd</t>
  </si>
  <si>
    <t>Vial 16.gcd</t>
  </si>
  <si>
    <t>Vial 17.gcd</t>
  </si>
  <si>
    <t>Vial 18.gcd</t>
  </si>
  <si>
    <t>Vial 19.gcd</t>
  </si>
  <si>
    <t>Vial 20.gcd</t>
  </si>
  <si>
    <t>Vial 21.gcd</t>
  </si>
  <si>
    <t>Vial 22.gcd</t>
  </si>
  <si>
    <t>Vial 23.gcd</t>
  </si>
  <si>
    <t>Vial 24.gcd</t>
  </si>
  <si>
    <t>Vial 25.gcd</t>
  </si>
  <si>
    <t>Vial 26.gcd</t>
  </si>
  <si>
    <t>Vial 27.gcd</t>
  </si>
  <si>
    <t>Vial 28.gcd</t>
  </si>
  <si>
    <t>Eff 3</t>
  </si>
  <si>
    <t>Methane</t>
  </si>
  <si>
    <t>Check</t>
  </si>
  <si>
    <t>Port 3C</t>
  </si>
  <si>
    <t>Port 1E</t>
  </si>
  <si>
    <t>Port 2B</t>
  </si>
  <si>
    <t xml:space="preserve">Concentration [ppmv]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</si>
</sst>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Ethane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Samples'!$D$12:$D$18,'Aqueous Samples'!$D$20:$D$21,'Aqueous Samples'!$D$23:$D$24,'Aqueous Samples'!$D$26:$D$29,'Aqueous Samples'!$D$31:$D$32,'Aqueous Samples'!$D$35:$D$36)</c:f>
              <c:numCache>
                <c:formatCode>0</c:formatCode>
                <c:ptCount val="19"/>
                <c:pt idx="0">
                  <c:v>1.9999999999999929</c:v>
                </c:pt>
                <c:pt idx="1">
                  <c:v>20.999999999999925</c:v>
                </c:pt>
                <c:pt idx="2">
                  <c:v>41.000000000000014</c:v>
                </c:pt>
                <c:pt idx="3">
                  <c:v>59.999999999999943</c:v>
                </c:pt>
                <c:pt idx="4">
                  <c:v>80.000000000000028</c:v>
                </c:pt>
                <c:pt idx="5">
                  <c:v>99.999999999999972</c:v>
                </c:pt>
                <c:pt idx="6">
                  <c:v>121.99999999999997</c:v>
                </c:pt>
                <c:pt idx="7">
                  <c:v>140.00000000000006</c:v>
                </c:pt>
                <c:pt idx="8">
                  <c:v>160</c:v>
                </c:pt>
                <c:pt idx="9">
                  <c:v>211.99999999999997</c:v>
                </c:pt>
                <c:pt idx="10">
                  <c:v>241.00000000000003</c:v>
                </c:pt>
                <c:pt idx="11">
                  <c:v>271.99999999999989</c:v>
                </c:pt>
                <c:pt idx="12">
                  <c:v>300.99999999999994</c:v>
                </c:pt>
                <c:pt idx="13">
                  <c:v>332</c:v>
                </c:pt>
                <c:pt idx="14">
                  <c:v>360.99999999999994</c:v>
                </c:pt>
                <c:pt idx="15">
                  <c:v>390</c:v>
                </c:pt>
                <c:pt idx="16">
                  <c:v>420</c:v>
                </c:pt>
                <c:pt idx="17">
                  <c:v>539.99999999999989</c:v>
                </c:pt>
                <c:pt idx="18">
                  <c:v>608.99999999999989</c:v>
                </c:pt>
              </c:numCache>
            </c:numRef>
          </c:xVal>
          <c:yVal>
            <c:numRef>
              <c:f>('Aqueous Samples'!$AZ$12:$AZ$18,'Aqueous Samples'!$AZ$20:$AZ$21,'Aqueous Samples'!$AZ$23:$AZ$24,'Aqueous Samples'!$AZ$26:$AZ$29,'Aqueous Samples'!$AZ$31:$AZ$32,'Aqueous Samples'!$AZ$35:$AZ$36)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0.22108017873136601</c:v>
                </c:pt>
                <c:pt idx="4">
                  <c:v>0.63167153250779295</c:v>
                </c:pt>
                <c:pt idx="5">
                  <c:v>0.76800476681627639</c:v>
                </c:pt>
                <c:pt idx="6">
                  <c:v>0.76642883689835772</c:v>
                </c:pt>
                <c:pt idx="7">
                  <c:v>0.78245592923414276</c:v>
                </c:pt>
                <c:pt idx="8">
                  <c:v>0.82631992071423011</c:v>
                </c:pt>
                <c:pt idx="9">
                  <c:v>0.83329893052174264</c:v>
                </c:pt>
                <c:pt idx="10">
                  <c:v>0.8954983841542381</c:v>
                </c:pt>
                <c:pt idx="11">
                  <c:v>0.92783410946862577</c:v>
                </c:pt>
                <c:pt idx="12">
                  <c:v>0.93875398320476955</c:v>
                </c:pt>
                <c:pt idx="13">
                  <c:v>1.010298345271893</c:v>
                </c:pt>
                <c:pt idx="14">
                  <c:v>1.028880219600552</c:v>
                </c:pt>
                <c:pt idx="15">
                  <c:v>0.97909957451563023</c:v>
                </c:pt>
                <c:pt idx="16">
                  <c:v>1.0582383587719648</c:v>
                </c:pt>
                <c:pt idx="17">
                  <c:v>1.0010051464495169</c:v>
                </c:pt>
                <c:pt idx="18">
                  <c:v>1.0223210050167086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64E-4359-97F5-19E8C32220A9}"/>
            </c:ext>
          </c:extLst>
        </c:ser>
        <c:ser>
          <c:idx val="1"/>
          <c:order val="1"/>
          <c:tx>
            <c:v>Helium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('Aqueous Samples'!$D$12:$D$18,'Aqueous Samples'!$D$20:$D$21,'Aqueous Samples'!$D$23:$D$24,'Aqueous Samples'!$D$26:$D$29,'Aqueous Samples'!$D$31:$D$32,'Aqueous Samples'!$D$35:$D$36)</c:f>
              <c:numCache>
                <c:formatCode>0</c:formatCode>
                <c:ptCount val="19"/>
                <c:pt idx="0">
                  <c:v>1.9999999999999929</c:v>
                </c:pt>
                <c:pt idx="1">
                  <c:v>20.999999999999925</c:v>
                </c:pt>
                <c:pt idx="2">
                  <c:v>41.000000000000014</c:v>
                </c:pt>
                <c:pt idx="3">
                  <c:v>59.999999999999943</c:v>
                </c:pt>
                <c:pt idx="4">
                  <c:v>80.000000000000028</c:v>
                </c:pt>
                <c:pt idx="5">
                  <c:v>99.999999999999972</c:v>
                </c:pt>
                <c:pt idx="6">
                  <c:v>121.99999999999997</c:v>
                </c:pt>
                <c:pt idx="7">
                  <c:v>140.00000000000006</c:v>
                </c:pt>
                <c:pt idx="8">
                  <c:v>160</c:v>
                </c:pt>
                <c:pt idx="9">
                  <c:v>211.99999999999997</c:v>
                </c:pt>
                <c:pt idx="10">
                  <c:v>241.00000000000003</c:v>
                </c:pt>
                <c:pt idx="11">
                  <c:v>271.99999999999989</c:v>
                </c:pt>
                <c:pt idx="12">
                  <c:v>300.99999999999994</c:v>
                </c:pt>
                <c:pt idx="13">
                  <c:v>332</c:v>
                </c:pt>
                <c:pt idx="14">
                  <c:v>360.99999999999994</c:v>
                </c:pt>
                <c:pt idx="15">
                  <c:v>390</c:v>
                </c:pt>
                <c:pt idx="16">
                  <c:v>420</c:v>
                </c:pt>
                <c:pt idx="17">
                  <c:v>539.99999999999989</c:v>
                </c:pt>
                <c:pt idx="18">
                  <c:v>608.99999999999989</c:v>
                </c:pt>
              </c:numCache>
            </c:numRef>
          </c:xVal>
          <c:yVal>
            <c:numRef>
              <c:f>('Aqueous Samples'!$BA$12:$BA$18,'Aqueous Samples'!$BA$20:$BA$21,'Aqueous Samples'!$BA$23:$BA$24,'Aqueous Samples'!$BA$26:$BA$29,'Aqueous Samples'!$BA$31:$BA$32,'Aqueous Samples'!$BA$35:$BA$36)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0.35952460986493429</c:v>
                </c:pt>
                <c:pt idx="5">
                  <c:v>0.46168489486789366</c:v>
                </c:pt>
                <c:pt idx="6">
                  <c:v>0.46163106844965657</c:v>
                </c:pt>
                <c:pt idx="7">
                  <c:v>0.50516163391502511</c:v>
                </c:pt>
                <c:pt idx="8">
                  <c:v>0.5347271939778292</c:v>
                </c:pt>
                <c:pt idx="9">
                  <c:v>0.58958925309665045</c:v>
                </c:pt>
                <c:pt idx="10">
                  <c:v>0.61528867519885122</c:v>
                </c:pt>
                <c:pt idx="11">
                  <c:v>0.71789572952337399</c:v>
                </c:pt>
                <c:pt idx="12">
                  <c:v>0.79092544862506453</c:v>
                </c:pt>
                <c:pt idx="13">
                  <c:v>0.83000835643634785</c:v>
                </c:pt>
                <c:pt idx="14">
                  <c:v>0.89543185932115954</c:v>
                </c:pt>
                <c:pt idx="15">
                  <c:v>0.87824133052608566</c:v>
                </c:pt>
                <c:pt idx="16">
                  <c:v>0.94004044528527253</c:v>
                </c:pt>
                <c:pt idx="17">
                  <c:v>0.93961774288821953</c:v>
                </c:pt>
                <c:pt idx="18">
                  <c:v>0.991170791817092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64E-4359-97F5-19E8C32220A9}"/>
            </c:ext>
          </c:extLst>
        </c:ser>
        <c:ser>
          <c:idx val="3"/>
          <c:order val="2"/>
          <c:tx>
            <c:v>Sulfur Hexafluoride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('Aqueous Samples'!$D$12:$D$18,'Aqueous Samples'!$D$20:$D$21,'Aqueous Samples'!$D$23:$D$24,'Aqueous Samples'!$D$26:$D$29,'Aqueous Samples'!$D$31:$D$32,'Aqueous Samples'!$D$35:$D$36)</c:f>
              <c:numCache>
                <c:formatCode>0</c:formatCode>
                <c:ptCount val="19"/>
                <c:pt idx="0">
                  <c:v>1.9999999999999929</c:v>
                </c:pt>
                <c:pt idx="1">
                  <c:v>20.999999999999925</c:v>
                </c:pt>
                <c:pt idx="2">
                  <c:v>41.000000000000014</c:v>
                </c:pt>
                <c:pt idx="3">
                  <c:v>59.999999999999943</c:v>
                </c:pt>
                <c:pt idx="4">
                  <c:v>80.000000000000028</c:v>
                </c:pt>
                <c:pt idx="5">
                  <c:v>99.999999999999972</c:v>
                </c:pt>
                <c:pt idx="6">
                  <c:v>121.99999999999997</c:v>
                </c:pt>
                <c:pt idx="7">
                  <c:v>140.00000000000006</c:v>
                </c:pt>
                <c:pt idx="8">
                  <c:v>160</c:v>
                </c:pt>
                <c:pt idx="9">
                  <c:v>211.99999999999997</c:v>
                </c:pt>
                <c:pt idx="10">
                  <c:v>241.00000000000003</c:v>
                </c:pt>
                <c:pt idx="11">
                  <c:v>271.99999999999989</c:v>
                </c:pt>
                <c:pt idx="12">
                  <c:v>300.99999999999994</c:v>
                </c:pt>
                <c:pt idx="13">
                  <c:v>332</c:v>
                </c:pt>
                <c:pt idx="14">
                  <c:v>360.99999999999994</c:v>
                </c:pt>
                <c:pt idx="15">
                  <c:v>390</c:v>
                </c:pt>
                <c:pt idx="16">
                  <c:v>420</c:v>
                </c:pt>
                <c:pt idx="17">
                  <c:v>539.99999999999989</c:v>
                </c:pt>
                <c:pt idx="18">
                  <c:v>608.99999999999989</c:v>
                </c:pt>
              </c:numCache>
            </c:numRef>
          </c:xVal>
          <c:yVal>
            <c:numRef>
              <c:f>('Aqueous Samples'!$BC$12:$BC$18,'Aqueous Samples'!$BC$20:$BC$21,'Aqueous Samples'!$BC$23:$BC$24,'Aqueous Samples'!$BC$26:$BC$29,'Aqueous Samples'!$BC$31:$BC$32,'Aqueous Samples'!$BC$35:$BC$36)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0.62548162732149959</c:v>
                </c:pt>
                <c:pt idx="5">
                  <c:v>0.66797231268697399</c:v>
                </c:pt>
                <c:pt idx="6">
                  <c:v>0.73160206672492134</c:v>
                </c:pt>
                <c:pt idx="7">
                  <c:v>0.66837246391740901</c:v>
                </c:pt>
                <c:pt idx="8">
                  <c:v>0.71663365293664383</c:v>
                </c:pt>
                <c:pt idx="9">
                  <c:v>0.7304791649461625</c:v>
                </c:pt>
                <c:pt idx="10">
                  <c:v>0.81213591002225616</c:v>
                </c:pt>
                <c:pt idx="11">
                  <c:v>0.86804159067544562</c:v>
                </c:pt>
                <c:pt idx="12">
                  <c:v>0.84734957752734341</c:v>
                </c:pt>
                <c:pt idx="13">
                  <c:v>0.91139382257993728</c:v>
                </c:pt>
                <c:pt idx="14">
                  <c:v>0.85211056113356254</c:v>
                </c:pt>
                <c:pt idx="15">
                  <c:v>0.97985294655958</c:v>
                </c:pt>
                <c:pt idx="16">
                  <c:v>0.97034778195556126</c:v>
                </c:pt>
                <c:pt idx="17">
                  <c:v>1.1009432233958869</c:v>
                </c:pt>
                <c:pt idx="18">
                  <c:v>0.98277052657489461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64E-4359-97F5-19E8C32220A9}"/>
            </c:ext>
          </c:extLst>
        </c:ser>
        <c:ser>
          <c:idx val="2"/>
          <c:order val="3"/>
          <c:tx>
            <c:v>Bromide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'Aqueous Samples'!$BG$12:$BG$39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1.9999999999999929</c:v>
                </c:pt>
                <c:pt idx="4">
                  <c:v>10</c:v>
                </c:pt>
                <c:pt idx="5" formatCode="0">
                  <c:v>20.999999999999925</c:v>
                </c:pt>
                <c:pt idx="6">
                  <c:v>32</c:v>
                </c:pt>
                <c:pt idx="7" formatCode="0">
                  <c:v>41.000000000000014</c:v>
                </c:pt>
                <c:pt idx="8">
                  <c:v>50</c:v>
                </c:pt>
                <c:pt idx="9" formatCode="0">
                  <c:v>59.999999999999943</c:v>
                </c:pt>
                <c:pt idx="10">
                  <c:v>70</c:v>
                </c:pt>
                <c:pt idx="11" formatCode="0">
                  <c:v>80.000000000000028</c:v>
                </c:pt>
                <c:pt idx="12" formatCode="0">
                  <c:v>99.999999999999972</c:v>
                </c:pt>
                <c:pt idx="13" formatCode="0">
                  <c:v>121.99999999999997</c:v>
                </c:pt>
                <c:pt idx="14" formatCode="0">
                  <c:v>140.00000000000006</c:v>
                </c:pt>
                <c:pt idx="15" formatCode="0">
                  <c:v>160</c:v>
                </c:pt>
                <c:pt idx="16" formatCode="0">
                  <c:v>179.99999999999991</c:v>
                </c:pt>
                <c:pt idx="17" formatCode="0">
                  <c:v>211.99999999999997</c:v>
                </c:pt>
                <c:pt idx="18" formatCode="0">
                  <c:v>241.00000000000003</c:v>
                </c:pt>
                <c:pt idx="19" formatCode="0">
                  <c:v>271.99999999999989</c:v>
                </c:pt>
                <c:pt idx="20" formatCode="0">
                  <c:v>300.99999999999994</c:v>
                </c:pt>
                <c:pt idx="21" formatCode="0">
                  <c:v>332</c:v>
                </c:pt>
                <c:pt idx="22" formatCode="0">
                  <c:v>360.99999999999994</c:v>
                </c:pt>
                <c:pt idx="23" formatCode="0">
                  <c:v>390</c:v>
                </c:pt>
                <c:pt idx="24" formatCode="0">
                  <c:v>420</c:v>
                </c:pt>
                <c:pt idx="25" formatCode="0">
                  <c:v>480</c:v>
                </c:pt>
                <c:pt idx="26" formatCode="0">
                  <c:v>539.99999999999989</c:v>
                </c:pt>
                <c:pt idx="27" formatCode="0">
                  <c:v>608.99999999999989</c:v>
                </c:pt>
              </c:numCache>
            </c:numRef>
          </c:xVal>
          <c:yVal>
            <c:numRef>
              <c:f>'Aqueous Samples'!$BH$12:$BH$39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5.9802260298193612E-2</c:v>
                </c:pt>
                <c:pt idx="9">
                  <c:v>0.15904688682153165</c:v>
                </c:pt>
                <c:pt idx="10">
                  <c:v>0.61562860360784166</c:v>
                </c:pt>
                <c:pt idx="11">
                  <c:v>0.90692049013258691</c:v>
                </c:pt>
                <c:pt idx="12">
                  <c:v>0.9550573809331192</c:v>
                </c:pt>
                <c:pt idx="13">
                  <c:v>1.0050483485867376</c:v>
                </c:pt>
                <c:pt idx="14">
                  <c:v>1.0056021869705836</c:v>
                </c:pt>
                <c:pt idx="15">
                  <c:v>1.0287865194835588</c:v>
                </c:pt>
                <c:pt idx="16">
                  <c:v>1.0791637024741128</c:v>
                </c:pt>
                <c:pt idx="17">
                  <c:v>1.0143947347169506</c:v>
                </c:pt>
                <c:pt idx="18">
                  <c:v>1.0501333388247651</c:v>
                </c:pt>
                <c:pt idx="19">
                  <c:v>0.97098937269114283</c:v>
                </c:pt>
                <c:pt idx="20">
                  <c:v>1.0300645850003987</c:v>
                </c:pt>
                <c:pt idx="21">
                  <c:v>1.0193695591126088</c:v>
                </c:pt>
                <c:pt idx="22">
                  <c:v>0.98886533228719753</c:v>
                </c:pt>
                <c:pt idx="23">
                  <c:v>0.99910218281802354</c:v>
                </c:pt>
                <c:pt idx="24">
                  <c:v>0.99764450985492881</c:v>
                </c:pt>
                <c:pt idx="25">
                  <c:v>1.0089435953326877</c:v>
                </c:pt>
                <c:pt idx="26">
                  <c:v>1.0324006328726647</c:v>
                </c:pt>
                <c:pt idx="27">
                  <c:v>1.0337251188699839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81A-4589-870E-228A5020F1A8}"/>
            </c:ext>
          </c:extLst>
        </c:ser>
        <c:ser>
          <c:idx val="4"/>
          <c:order val="4"/>
          <c:tx>
            <c:v>Nitrous Oxide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('Aqueous Samples'!$D$12:$D$18,'Aqueous Samples'!$D$20:$D$21,'Aqueous Samples'!$D$23:$D$24,'Aqueous Samples'!$D$26:$D$29,'Aqueous Samples'!$D$31:$D$32,'Aqueous Samples'!$D$35:$D$36)</c:f>
              <c:numCache>
                <c:formatCode>0</c:formatCode>
                <c:ptCount val="19"/>
                <c:pt idx="0">
                  <c:v>1.9999999999999929</c:v>
                </c:pt>
                <c:pt idx="1">
                  <c:v>20.999999999999925</c:v>
                </c:pt>
                <c:pt idx="2">
                  <c:v>41.000000000000014</c:v>
                </c:pt>
                <c:pt idx="3">
                  <c:v>59.999999999999943</c:v>
                </c:pt>
                <c:pt idx="4">
                  <c:v>80.000000000000028</c:v>
                </c:pt>
                <c:pt idx="5">
                  <c:v>99.999999999999972</c:v>
                </c:pt>
                <c:pt idx="6">
                  <c:v>121.99999999999997</c:v>
                </c:pt>
                <c:pt idx="7">
                  <c:v>140.00000000000006</c:v>
                </c:pt>
                <c:pt idx="8">
                  <c:v>160</c:v>
                </c:pt>
                <c:pt idx="9">
                  <c:v>211.99999999999997</c:v>
                </c:pt>
                <c:pt idx="10">
                  <c:v>241.00000000000003</c:v>
                </c:pt>
                <c:pt idx="11">
                  <c:v>271.99999999999989</c:v>
                </c:pt>
                <c:pt idx="12">
                  <c:v>300.99999999999994</c:v>
                </c:pt>
                <c:pt idx="13">
                  <c:v>332</c:v>
                </c:pt>
                <c:pt idx="14">
                  <c:v>360.99999999999994</c:v>
                </c:pt>
                <c:pt idx="15">
                  <c:v>390</c:v>
                </c:pt>
                <c:pt idx="16">
                  <c:v>420</c:v>
                </c:pt>
                <c:pt idx="17">
                  <c:v>539.99999999999989</c:v>
                </c:pt>
                <c:pt idx="18">
                  <c:v>608.99999999999989</c:v>
                </c:pt>
              </c:numCache>
            </c:numRef>
          </c:xVal>
          <c:yVal>
            <c:numRef>
              <c:f>('Aqueous Samples'!$BB$12:$BB$18,'Aqueous Samples'!$BB$20:$BB$21,'Aqueous Samples'!$BB$23:$BB$24,'Aqueous Samples'!$BB$26:$BB$29,'Aqueous Samples'!$BB$31:$BB$32,'Aqueous Samples'!$BB$35:$BB$36)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8.6848565500582509E-2</c:v>
                </c:pt>
                <c:pt idx="4">
                  <c:v>0.84203189483826191</c:v>
                </c:pt>
                <c:pt idx="5">
                  <c:v>0.95330538754053928</c:v>
                </c:pt>
                <c:pt idx="6">
                  <c:v>0.94839361494946572</c:v>
                </c:pt>
                <c:pt idx="7">
                  <c:v>0.93272776984438632</c:v>
                </c:pt>
                <c:pt idx="8">
                  <c:v>0.92116760088469207</c:v>
                </c:pt>
                <c:pt idx="9">
                  <c:v>0.94790817501077129</c:v>
                </c:pt>
                <c:pt idx="10">
                  <c:v>0.94710764225056587</c:v>
                </c:pt>
                <c:pt idx="11">
                  <c:v>0.97699135181521202</c:v>
                </c:pt>
                <c:pt idx="12">
                  <c:v>1.0041222820848259</c:v>
                </c:pt>
                <c:pt idx="13">
                  <c:v>1.0008593263754972</c:v>
                </c:pt>
                <c:pt idx="14">
                  <c:v>1.0244918235154818</c:v>
                </c:pt>
                <c:pt idx="15">
                  <c:v>0.95844674827022136</c:v>
                </c:pt>
                <c:pt idx="16">
                  <c:v>0.98359354769819674</c:v>
                </c:pt>
                <c:pt idx="17">
                  <c:v>0.95713330287223142</c:v>
                </c:pt>
                <c:pt idx="18">
                  <c:v>0.98762745022152454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4-479B-B4F9-01F86D5B2418}"/>
            </c:ext>
          </c:extLst>
        </c:ser>
        <c:ser>
          <c:idx val="5"/>
          <c:order val="5"/>
          <c:tx>
            <c:v>Methane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('Aqueous Samples'!$D$12:$D$18,'Aqueous Samples'!$D$20:$D$21,'Aqueous Samples'!$D$23:$D$24,'Aqueous Samples'!$D$26:$D$29,'Aqueous Samples'!$D$31:$D$32,'Aqueous Samples'!$D$35:$D$36)</c:f>
              <c:numCache>
                <c:formatCode>0</c:formatCode>
                <c:ptCount val="19"/>
                <c:pt idx="0">
                  <c:v>1.9999999999999929</c:v>
                </c:pt>
                <c:pt idx="1">
                  <c:v>20.999999999999925</c:v>
                </c:pt>
                <c:pt idx="2">
                  <c:v>41.000000000000014</c:v>
                </c:pt>
                <c:pt idx="3">
                  <c:v>59.999999999999943</c:v>
                </c:pt>
                <c:pt idx="4">
                  <c:v>80.000000000000028</c:v>
                </c:pt>
                <c:pt idx="5">
                  <c:v>99.999999999999972</c:v>
                </c:pt>
                <c:pt idx="6">
                  <c:v>121.99999999999997</c:v>
                </c:pt>
                <c:pt idx="7">
                  <c:v>140.00000000000006</c:v>
                </c:pt>
                <c:pt idx="8">
                  <c:v>160</c:v>
                </c:pt>
                <c:pt idx="9">
                  <c:v>211.99999999999997</c:v>
                </c:pt>
                <c:pt idx="10">
                  <c:v>241.00000000000003</c:v>
                </c:pt>
                <c:pt idx="11">
                  <c:v>271.99999999999989</c:v>
                </c:pt>
                <c:pt idx="12">
                  <c:v>300.99999999999994</c:v>
                </c:pt>
                <c:pt idx="13">
                  <c:v>332</c:v>
                </c:pt>
                <c:pt idx="14">
                  <c:v>360.99999999999994</c:v>
                </c:pt>
                <c:pt idx="15">
                  <c:v>390</c:v>
                </c:pt>
                <c:pt idx="16">
                  <c:v>420</c:v>
                </c:pt>
                <c:pt idx="17">
                  <c:v>539.99999999999989</c:v>
                </c:pt>
                <c:pt idx="18">
                  <c:v>608.99999999999989</c:v>
                </c:pt>
              </c:numCache>
            </c:numRef>
          </c:xVal>
          <c:yVal>
            <c:numRef>
              <c:f>('Aqueous Samples'!$BD$12:$BD$18,'Aqueous Samples'!$BD$20:$BD$21,'Aqueous Samples'!$BD$23:$BD$24,'Aqueous Samples'!$BD$26:$BD$29,'Aqueous Samples'!$BD$31:$BD$32,'Aqueous Samples'!$BD$35:$BD$36)</c:f>
              <c:numCache>
                <c:formatCode>General</c:formatCode>
                <c:ptCount val="19"/>
                <c:pt idx="0">
                  <c:v>3.4521694805752211E-4</c:v>
                </c:pt>
                <c:pt idx="1">
                  <c:v>1.6111675911532357E-5</c:v>
                </c:pt>
                <c:pt idx="2">
                  <c:v>0</c:v>
                </c:pt>
                <c:pt idx="3">
                  <c:v>4.4531000306044108E-2</c:v>
                </c:pt>
                <c:pt idx="4">
                  <c:v>0.60715585825200213</c:v>
                </c:pt>
                <c:pt idx="5">
                  <c:v>0.73132394194548478</c:v>
                </c:pt>
                <c:pt idx="6">
                  <c:v>0.7675096185825353</c:v>
                </c:pt>
                <c:pt idx="7">
                  <c:v>0.8096290831514722</c:v>
                </c:pt>
                <c:pt idx="8">
                  <c:v>0.84318740671512771</c:v>
                </c:pt>
                <c:pt idx="9">
                  <c:v>0.89213446397474971</c:v>
                </c:pt>
                <c:pt idx="10">
                  <c:v>0.89008590746463123</c:v>
                </c:pt>
                <c:pt idx="11">
                  <c:v>0.9583872657597442</c:v>
                </c:pt>
                <c:pt idx="12">
                  <c:v>0.99768809925958168</c:v>
                </c:pt>
                <c:pt idx="13">
                  <c:v>0.99641167883399873</c:v>
                </c:pt>
                <c:pt idx="14">
                  <c:v>1.0215284854155027</c:v>
                </c:pt>
                <c:pt idx="15">
                  <c:v>1.0059774027576149</c:v>
                </c:pt>
                <c:pt idx="16">
                  <c:v>1.0434332763410139</c:v>
                </c:pt>
                <c:pt idx="17">
                  <c:v>0.99752009166338929</c:v>
                </c:pt>
                <c:pt idx="18">
                  <c:v>1.0094695535217153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4-479B-B4F9-01F86D5B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42504"/>
        <c:axId val="608744472"/>
        <c:extLst/>
      </c:scatterChart>
      <c:valAx>
        <c:axId val="608742504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4472"/>
        <c:crosses val="autoZero"/>
        <c:crossBetween val="midCat"/>
      </c:valAx>
      <c:valAx>
        <c:axId val="6087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Samples'!$D$12:$D$19,'Aqueous Samples'!$D$21:$D$26,'Aqueous Samples'!$D$29:$D$30,'Aqueous Samples'!$D$32:$D$33,'Aqueous Samples'!$D$35:$D$36)</c:f>
              <c:numCache>
                <c:formatCode>0</c:formatCode>
                <c:ptCount val="20"/>
                <c:pt idx="0">
                  <c:v>1.9999999999999929</c:v>
                </c:pt>
                <c:pt idx="1">
                  <c:v>20.999999999999925</c:v>
                </c:pt>
                <c:pt idx="2">
                  <c:v>41.000000000000014</c:v>
                </c:pt>
                <c:pt idx="3">
                  <c:v>59.999999999999943</c:v>
                </c:pt>
                <c:pt idx="4">
                  <c:v>80.000000000000028</c:v>
                </c:pt>
                <c:pt idx="5">
                  <c:v>99.999999999999972</c:v>
                </c:pt>
                <c:pt idx="6">
                  <c:v>121.99999999999997</c:v>
                </c:pt>
                <c:pt idx="7">
                  <c:v>123.99999999999996</c:v>
                </c:pt>
                <c:pt idx="8">
                  <c:v>160</c:v>
                </c:pt>
                <c:pt idx="9">
                  <c:v>179.99999999999991</c:v>
                </c:pt>
                <c:pt idx="10">
                  <c:v>211.99999999999997</c:v>
                </c:pt>
                <c:pt idx="11">
                  <c:v>241.00000000000003</c:v>
                </c:pt>
                <c:pt idx="12">
                  <c:v>244</c:v>
                </c:pt>
                <c:pt idx="13">
                  <c:v>271.99999999999989</c:v>
                </c:pt>
                <c:pt idx="14">
                  <c:v>360.99999999999994</c:v>
                </c:pt>
                <c:pt idx="15">
                  <c:v>362.00000000000006</c:v>
                </c:pt>
                <c:pt idx="16">
                  <c:v>420</c:v>
                </c:pt>
                <c:pt idx="17">
                  <c:v>480</c:v>
                </c:pt>
                <c:pt idx="18">
                  <c:v>539.99999999999989</c:v>
                </c:pt>
                <c:pt idx="19">
                  <c:v>608.99999999999989</c:v>
                </c:pt>
              </c:numCache>
            </c:numRef>
          </c:xVal>
          <c:yVal>
            <c:numRef>
              <c:f>('Aqueous Samples'!$BB$12:$BB$19,'Aqueous Samples'!$BB$21:$BB$26,'Aqueous Samples'!$BB$29:$BB$30,'Aqueous Samples'!$BB$32:$BB$33,'Aqueous Samples'!$BB$35:$BB$36)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8.6848565500582509E-2</c:v>
                </c:pt>
                <c:pt idx="4">
                  <c:v>0.84203189483826191</c:v>
                </c:pt>
                <c:pt idx="5">
                  <c:v>0.95330538754053928</c:v>
                </c:pt>
                <c:pt idx="6">
                  <c:v>0.94839361494946572</c:v>
                </c:pt>
                <c:pt idx="7">
                  <c:v>1</c:v>
                </c:pt>
                <c:pt idx="8">
                  <c:v>0.92116760088469207</c:v>
                </c:pt>
                <c:pt idx="9">
                  <c:v>0.94258431784225627</c:v>
                </c:pt>
                <c:pt idx="10">
                  <c:v>0.94790817501077129</c:v>
                </c:pt>
                <c:pt idx="11">
                  <c:v>0.94710764225056587</c:v>
                </c:pt>
                <c:pt idx="12">
                  <c:v>1</c:v>
                </c:pt>
                <c:pt idx="13">
                  <c:v>0.97699135181521202</c:v>
                </c:pt>
                <c:pt idx="14">
                  <c:v>1.0244918235154818</c:v>
                </c:pt>
                <c:pt idx="15">
                  <c:v>1</c:v>
                </c:pt>
                <c:pt idx="16">
                  <c:v>0.98359354769819674</c:v>
                </c:pt>
                <c:pt idx="17">
                  <c:v>0.93979272497385968</c:v>
                </c:pt>
                <c:pt idx="18">
                  <c:v>0.95713330287223142</c:v>
                </c:pt>
                <c:pt idx="19">
                  <c:v>0.98762745022152454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497-45E0-B172-6B97409D6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26264"/>
        <c:axId val="788927904"/>
      </c:scatterChart>
      <c:valAx>
        <c:axId val="78892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7904"/>
        <c:crosses val="autoZero"/>
        <c:crossBetween val="midCat"/>
      </c:valAx>
      <c:valAx>
        <c:axId val="7889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Samples'!$D$12:$D$19,'Aqueous Samples'!$D$21:$D$26,'Aqueous Samples'!$D$29:$D$30,'Aqueous Samples'!$D$32:$D$33,'Aqueous Samples'!$D$35:$D$36)</c:f>
              <c:numCache>
                <c:formatCode>0</c:formatCode>
                <c:ptCount val="20"/>
                <c:pt idx="0">
                  <c:v>1.9999999999999929</c:v>
                </c:pt>
                <c:pt idx="1">
                  <c:v>20.999999999999925</c:v>
                </c:pt>
                <c:pt idx="2">
                  <c:v>41.000000000000014</c:v>
                </c:pt>
                <c:pt idx="3">
                  <c:v>59.999999999999943</c:v>
                </c:pt>
                <c:pt idx="4">
                  <c:v>80.000000000000028</c:v>
                </c:pt>
                <c:pt idx="5">
                  <c:v>99.999999999999972</c:v>
                </c:pt>
                <c:pt idx="6">
                  <c:v>121.99999999999997</c:v>
                </c:pt>
                <c:pt idx="7">
                  <c:v>123.99999999999996</c:v>
                </c:pt>
                <c:pt idx="8">
                  <c:v>160</c:v>
                </c:pt>
                <c:pt idx="9">
                  <c:v>179.99999999999991</c:v>
                </c:pt>
                <c:pt idx="10">
                  <c:v>211.99999999999997</c:v>
                </c:pt>
                <c:pt idx="11">
                  <c:v>241.00000000000003</c:v>
                </c:pt>
                <c:pt idx="12">
                  <c:v>244</c:v>
                </c:pt>
                <c:pt idx="13">
                  <c:v>271.99999999999989</c:v>
                </c:pt>
                <c:pt idx="14">
                  <c:v>360.99999999999994</c:v>
                </c:pt>
                <c:pt idx="15">
                  <c:v>362.00000000000006</c:v>
                </c:pt>
                <c:pt idx="16">
                  <c:v>420</c:v>
                </c:pt>
                <c:pt idx="17">
                  <c:v>480</c:v>
                </c:pt>
                <c:pt idx="18">
                  <c:v>539.99999999999989</c:v>
                </c:pt>
                <c:pt idx="19">
                  <c:v>608.99999999999989</c:v>
                </c:pt>
              </c:numCache>
            </c:numRef>
          </c:xVal>
          <c:yVal>
            <c:numRef>
              <c:f>('Aqueous Samples'!$BD$12:$BD$19,'Aqueous Samples'!$BD$21:$BD$26,'Aqueous Samples'!$BD$28:$BD$29,'Aqueous Samples'!$BD$30,'Aqueous Samples'!$BD$32:$BD$33,'Aqueous Samples'!$BD$35:$BD$36)</c:f>
              <c:numCache>
                <c:formatCode>General</c:formatCode>
                <c:ptCount val="21"/>
                <c:pt idx="0">
                  <c:v>3.4521694805752211E-4</c:v>
                </c:pt>
                <c:pt idx="1">
                  <c:v>1.6111675911532357E-5</c:v>
                </c:pt>
                <c:pt idx="2">
                  <c:v>0</c:v>
                </c:pt>
                <c:pt idx="3">
                  <c:v>4.4531000306044108E-2</c:v>
                </c:pt>
                <c:pt idx="4">
                  <c:v>0.60715585825200213</c:v>
                </c:pt>
                <c:pt idx="5">
                  <c:v>0.73132394194548478</c:v>
                </c:pt>
                <c:pt idx="6">
                  <c:v>0.7675096185825353</c:v>
                </c:pt>
                <c:pt idx="7">
                  <c:v>1</c:v>
                </c:pt>
                <c:pt idx="8">
                  <c:v>0.84318740671512771</c:v>
                </c:pt>
                <c:pt idx="9">
                  <c:v>0.89705060243352797</c:v>
                </c:pt>
                <c:pt idx="10">
                  <c:v>0.89213446397474971</c:v>
                </c:pt>
                <c:pt idx="11">
                  <c:v>0.89008590746463123</c:v>
                </c:pt>
                <c:pt idx="12">
                  <c:v>1</c:v>
                </c:pt>
                <c:pt idx="13">
                  <c:v>0.9583872657597442</c:v>
                </c:pt>
                <c:pt idx="14">
                  <c:v>0.99641167883399873</c:v>
                </c:pt>
                <c:pt idx="15">
                  <c:v>1.0215284854155027</c:v>
                </c:pt>
                <c:pt idx="16">
                  <c:v>1</c:v>
                </c:pt>
                <c:pt idx="17">
                  <c:v>1.0434332763410139</c:v>
                </c:pt>
                <c:pt idx="18">
                  <c:v>0.98970619238281887</c:v>
                </c:pt>
                <c:pt idx="19">
                  <c:v>0.99752009166338929</c:v>
                </c:pt>
                <c:pt idx="20">
                  <c:v>1.0094695535217153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D-4AFF-A4DA-CDF3CCE5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653816"/>
        <c:axId val="792656440"/>
      </c:scatterChart>
      <c:valAx>
        <c:axId val="79265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56440"/>
        <c:crosses val="autoZero"/>
        <c:crossBetween val="midCat"/>
      </c:valAx>
      <c:valAx>
        <c:axId val="7926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5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404812</xdr:colOff>
      <xdr:row>4</xdr:row>
      <xdr:rowOff>95249</xdr:rowOff>
    </xdr:from>
    <xdr:to>
      <xdr:col>75</xdr:col>
      <xdr:colOff>114300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18A91-262D-492B-8CBC-509B8DF6A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114300</xdr:colOff>
      <xdr:row>33</xdr:row>
      <xdr:rowOff>147637</xdr:rowOff>
    </xdr:from>
    <xdr:to>
      <xdr:col>69</xdr:col>
      <xdr:colOff>419100</xdr:colOff>
      <xdr:row>48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6C956-C0A5-4A77-9153-E320BA399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171450</xdr:colOff>
      <xdr:row>33</xdr:row>
      <xdr:rowOff>128587</xdr:rowOff>
    </xdr:from>
    <xdr:to>
      <xdr:col>77</xdr:col>
      <xdr:colOff>476250</xdr:colOff>
      <xdr:row>48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F8246-A628-4162-ACAB-8A018D339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6"/>
  <sheetViews>
    <sheetView workbookViewId="0">
      <selection activeCell="G5" sqref="G5:G36"/>
    </sheetView>
  </sheetViews>
  <sheetFormatPr defaultRowHeight="15" x14ac:dyDescent="0.25"/>
  <cols>
    <col min="2" max="6" width="17" customWidth="1"/>
  </cols>
  <sheetData>
    <row r="2" spans="2:7" x14ac:dyDescent="0.25">
      <c r="B2" t="s">
        <v>35</v>
      </c>
      <c r="F2" s="2">
        <v>0.47916666666666669</v>
      </c>
    </row>
    <row r="4" spans="2:7" x14ac:dyDescent="0.25">
      <c r="B4" t="s">
        <v>33</v>
      </c>
      <c r="C4" t="s">
        <v>39</v>
      </c>
      <c r="D4" t="s">
        <v>71</v>
      </c>
      <c r="E4" t="s">
        <v>70</v>
      </c>
      <c r="F4" t="s">
        <v>69</v>
      </c>
      <c r="G4" t="s">
        <v>34</v>
      </c>
    </row>
    <row r="5" spans="2:7" x14ac:dyDescent="0.25">
      <c r="B5" t="s">
        <v>0</v>
      </c>
      <c r="C5" t="s">
        <v>40</v>
      </c>
      <c r="F5" s="2">
        <v>0.39166666666666666</v>
      </c>
      <c r="G5" s="1">
        <v>225064</v>
      </c>
    </row>
    <row r="6" spans="2:7" x14ac:dyDescent="0.25">
      <c r="B6" t="s">
        <v>2</v>
      </c>
      <c r="C6" t="s">
        <v>41</v>
      </c>
      <c r="F6" s="2">
        <v>0.39444444444444443</v>
      </c>
      <c r="G6" s="1">
        <v>260912</v>
      </c>
    </row>
    <row r="7" spans="2:7" x14ac:dyDescent="0.25">
      <c r="B7" t="s">
        <v>3</v>
      </c>
      <c r="C7" t="s">
        <v>42</v>
      </c>
      <c r="F7" s="2">
        <v>0.3979166666666667</v>
      </c>
      <c r="G7" s="1">
        <v>286666</v>
      </c>
    </row>
    <row r="8" spans="2:7" x14ac:dyDescent="0.25">
      <c r="B8" t="s">
        <v>4</v>
      </c>
      <c r="C8" t="s">
        <v>43</v>
      </c>
      <c r="F8" s="2">
        <v>0.39930555555555558</v>
      </c>
      <c r="G8" s="1">
        <v>272180</v>
      </c>
    </row>
    <row r="9" spans="2:7" x14ac:dyDescent="0.25">
      <c r="B9" t="s">
        <v>5</v>
      </c>
      <c r="C9" t="s">
        <v>44</v>
      </c>
      <c r="F9" s="2">
        <v>0.40138888888888885</v>
      </c>
      <c r="G9" s="1">
        <v>273945</v>
      </c>
    </row>
    <row r="10" spans="2:7" x14ac:dyDescent="0.25">
      <c r="B10" t="s">
        <v>6</v>
      </c>
      <c r="C10" t="s">
        <v>48</v>
      </c>
      <c r="F10" s="2">
        <v>0.4145833333333333</v>
      </c>
      <c r="G10" t="s">
        <v>1</v>
      </c>
    </row>
    <row r="11" spans="2:7" x14ac:dyDescent="0.25">
      <c r="B11" t="s">
        <v>7</v>
      </c>
      <c r="C11" t="s">
        <v>49</v>
      </c>
      <c r="F11" s="2">
        <v>0.41597222222222219</v>
      </c>
      <c r="G11" t="s">
        <v>1</v>
      </c>
    </row>
    <row r="12" spans="2:7" x14ac:dyDescent="0.25">
      <c r="B12" t="s">
        <v>8</v>
      </c>
      <c r="C12" t="s">
        <v>50</v>
      </c>
      <c r="F12" s="2">
        <v>0.41805555555555557</v>
      </c>
      <c r="G12" t="s">
        <v>1</v>
      </c>
    </row>
    <row r="13" spans="2:7" x14ac:dyDescent="0.25">
      <c r="B13" t="s">
        <v>9</v>
      </c>
      <c r="C13" t="s">
        <v>51</v>
      </c>
      <c r="F13" s="2">
        <v>0.43958333333333338</v>
      </c>
      <c r="G13" t="s">
        <v>1</v>
      </c>
    </row>
    <row r="14" spans="2:7" x14ac:dyDescent="0.25">
      <c r="B14" t="s">
        <v>10</v>
      </c>
      <c r="C14" t="s">
        <v>52</v>
      </c>
      <c r="F14" s="2">
        <v>0.44097222222222227</v>
      </c>
      <c r="G14" t="s">
        <v>1</v>
      </c>
    </row>
    <row r="15" spans="2:7" x14ac:dyDescent="0.25">
      <c r="B15" s="3" t="s">
        <v>11</v>
      </c>
      <c r="C15" t="s">
        <v>53</v>
      </c>
      <c r="F15" s="2">
        <v>0.46111111111111108</v>
      </c>
      <c r="G15" t="s">
        <v>1</v>
      </c>
    </row>
    <row r="16" spans="2:7" x14ac:dyDescent="0.25">
      <c r="B16" t="s">
        <v>12</v>
      </c>
      <c r="C16" t="s">
        <v>54</v>
      </c>
      <c r="D16">
        <f>24</f>
        <v>24</v>
      </c>
      <c r="E16" s="2">
        <f t="shared" ref="E16:E33" si="0">F16-$F$2</f>
        <v>1.6666666666666663E-2</v>
      </c>
      <c r="F16" s="2">
        <v>0.49583333333333335</v>
      </c>
      <c r="G16" t="s">
        <v>1</v>
      </c>
    </row>
    <row r="17" spans="2:7" x14ac:dyDescent="0.25">
      <c r="B17" t="s">
        <v>13</v>
      </c>
      <c r="C17" t="s">
        <v>55</v>
      </c>
      <c r="D17">
        <f>50</f>
        <v>50</v>
      </c>
      <c r="E17" s="2">
        <f t="shared" si="0"/>
        <v>3.4722222222222265E-2</v>
      </c>
      <c r="F17" s="2">
        <v>0.51388888888888895</v>
      </c>
      <c r="G17" t="s">
        <v>1</v>
      </c>
    </row>
    <row r="18" spans="2:7" x14ac:dyDescent="0.25">
      <c r="B18" t="s">
        <v>14</v>
      </c>
      <c r="C18" t="s">
        <v>56</v>
      </c>
      <c r="D18">
        <f>60*1+14</f>
        <v>74</v>
      </c>
      <c r="E18" s="2">
        <f t="shared" si="0"/>
        <v>5.1388888888888873E-2</v>
      </c>
      <c r="F18" s="2">
        <v>0.53055555555555556</v>
      </c>
      <c r="G18" t="s">
        <v>1</v>
      </c>
    </row>
    <row r="19" spans="2:7" x14ac:dyDescent="0.25">
      <c r="B19" t="s">
        <v>15</v>
      </c>
      <c r="C19" t="s">
        <v>57</v>
      </c>
      <c r="D19">
        <f>1*60+34</f>
        <v>94</v>
      </c>
      <c r="E19" s="2">
        <f t="shared" si="0"/>
        <v>6.5277777777777712E-2</v>
      </c>
      <c r="F19" s="2">
        <v>0.5444444444444444</v>
      </c>
      <c r="G19" t="s">
        <v>1</v>
      </c>
    </row>
    <row r="20" spans="2:7" x14ac:dyDescent="0.25">
      <c r="B20" t="s">
        <v>16</v>
      </c>
      <c r="C20" t="s">
        <v>58</v>
      </c>
      <c r="D20">
        <f>1*60+36</f>
        <v>96</v>
      </c>
      <c r="E20" s="2">
        <f t="shared" si="0"/>
        <v>6.6666666666666596E-2</v>
      </c>
      <c r="F20" s="2">
        <v>0.54583333333333328</v>
      </c>
      <c r="G20" t="s">
        <v>1</v>
      </c>
    </row>
    <row r="21" spans="2:7" x14ac:dyDescent="0.25">
      <c r="B21" t="s">
        <v>17</v>
      </c>
      <c r="C21" t="s">
        <v>59</v>
      </c>
      <c r="D21">
        <f>2*60+1</f>
        <v>121</v>
      </c>
      <c r="E21" s="2">
        <f t="shared" si="0"/>
        <v>8.4027777777777757E-2</v>
      </c>
      <c r="F21" s="2">
        <v>0.56319444444444444</v>
      </c>
      <c r="G21" t="s">
        <v>1</v>
      </c>
    </row>
    <row r="22" spans="2:7" x14ac:dyDescent="0.25">
      <c r="B22" t="s">
        <v>18</v>
      </c>
      <c r="C22" t="s">
        <v>58</v>
      </c>
      <c r="D22">
        <f>60*2+3</f>
        <v>123</v>
      </c>
      <c r="E22" s="2">
        <f t="shared" si="0"/>
        <v>8.5416666666666641E-2</v>
      </c>
      <c r="F22" s="2">
        <v>0.56458333333333333</v>
      </c>
      <c r="G22" t="s">
        <v>1</v>
      </c>
    </row>
    <row r="23" spans="2:7" x14ac:dyDescent="0.25">
      <c r="B23" t="s">
        <v>19</v>
      </c>
      <c r="C23" t="s">
        <v>60</v>
      </c>
      <c r="D23">
        <f>2*60+28</f>
        <v>148</v>
      </c>
      <c r="E23" s="2">
        <f t="shared" si="0"/>
        <v>0.1027777777777778</v>
      </c>
      <c r="F23" s="2">
        <v>0.58194444444444449</v>
      </c>
      <c r="G23" t="s">
        <v>1</v>
      </c>
    </row>
    <row r="24" spans="2:7" x14ac:dyDescent="0.25">
      <c r="B24" t="s">
        <v>20</v>
      </c>
      <c r="C24" t="s">
        <v>61</v>
      </c>
      <c r="D24">
        <f>2*60+51</f>
        <v>171</v>
      </c>
      <c r="E24" s="2">
        <f t="shared" si="0"/>
        <v>0.11874999999999997</v>
      </c>
      <c r="F24" s="2">
        <v>0.59791666666666665</v>
      </c>
      <c r="G24" t="s">
        <v>1</v>
      </c>
    </row>
    <row r="25" spans="2:7" x14ac:dyDescent="0.25">
      <c r="B25" t="s">
        <v>21</v>
      </c>
      <c r="C25" t="s">
        <v>48</v>
      </c>
      <c r="D25">
        <f>2*60+53</f>
        <v>173</v>
      </c>
      <c r="E25" s="2">
        <f t="shared" si="0"/>
        <v>0.12013888888888885</v>
      </c>
      <c r="F25" s="2">
        <v>0.59930555555555554</v>
      </c>
      <c r="G25" s="1">
        <v>26791</v>
      </c>
    </row>
    <row r="26" spans="2:7" x14ac:dyDescent="0.25">
      <c r="B26" t="s">
        <v>22</v>
      </c>
      <c r="C26" t="s">
        <v>62</v>
      </c>
      <c r="D26">
        <f>3*60+12</f>
        <v>192</v>
      </c>
      <c r="E26" s="2">
        <f t="shared" si="0"/>
        <v>0.13333333333333325</v>
      </c>
      <c r="F26" s="2">
        <v>0.61249999999999993</v>
      </c>
      <c r="G26" t="s">
        <v>1</v>
      </c>
    </row>
    <row r="27" spans="2:7" x14ac:dyDescent="0.25">
      <c r="B27" t="s">
        <v>23</v>
      </c>
      <c r="C27" t="s">
        <v>48</v>
      </c>
      <c r="D27">
        <f>3*60+14</f>
        <v>194</v>
      </c>
      <c r="E27" s="2">
        <f t="shared" si="0"/>
        <v>0.13472222222222213</v>
      </c>
      <c r="F27" s="2">
        <v>0.61388888888888882</v>
      </c>
      <c r="G27" s="1">
        <v>31780</v>
      </c>
    </row>
    <row r="28" spans="2:7" x14ac:dyDescent="0.25">
      <c r="B28" t="s">
        <v>24</v>
      </c>
      <c r="C28" t="s">
        <v>63</v>
      </c>
      <c r="D28">
        <f>3*60+53</f>
        <v>233</v>
      </c>
      <c r="E28" s="2">
        <f t="shared" si="0"/>
        <v>0.16180555555555548</v>
      </c>
      <c r="F28" s="2">
        <v>0.64097222222222217</v>
      </c>
      <c r="G28" s="1">
        <v>24758</v>
      </c>
    </row>
    <row r="29" spans="2:7" x14ac:dyDescent="0.25">
      <c r="B29" t="s">
        <v>25</v>
      </c>
      <c r="C29" t="s">
        <v>64</v>
      </c>
      <c r="D29">
        <f>4*60+36</f>
        <v>276</v>
      </c>
      <c r="E29" s="2">
        <f t="shared" si="0"/>
        <v>0.19166666666666671</v>
      </c>
      <c r="F29" s="2">
        <v>0.67083333333333339</v>
      </c>
      <c r="G29" s="1">
        <v>44280</v>
      </c>
    </row>
    <row r="30" spans="2:7" x14ac:dyDescent="0.25">
      <c r="B30" t="s">
        <v>26</v>
      </c>
      <c r="C30" t="s">
        <v>65</v>
      </c>
      <c r="D30">
        <f>4*60+59</f>
        <v>299</v>
      </c>
      <c r="E30" s="2">
        <f t="shared" si="0"/>
        <v>0.20763888888888887</v>
      </c>
      <c r="F30" s="2">
        <v>0.68680555555555556</v>
      </c>
      <c r="G30" s="1">
        <v>49974</v>
      </c>
    </row>
    <row r="31" spans="2:7" x14ac:dyDescent="0.25">
      <c r="B31" t="s">
        <v>27</v>
      </c>
      <c r="C31" t="s">
        <v>66</v>
      </c>
      <c r="D31">
        <f>5*60+26</f>
        <v>326</v>
      </c>
      <c r="E31" s="2">
        <f t="shared" si="0"/>
        <v>0.22638888888888892</v>
      </c>
      <c r="F31" s="2">
        <v>0.7055555555555556</v>
      </c>
      <c r="G31" s="1">
        <v>60893</v>
      </c>
    </row>
    <row r="32" spans="2:7" x14ac:dyDescent="0.25">
      <c r="B32" t="s">
        <v>28</v>
      </c>
      <c r="C32" t="s">
        <v>67</v>
      </c>
      <c r="D32">
        <f>6*60+23</f>
        <v>383</v>
      </c>
      <c r="E32" s="2">
        <f t="shared" si="0"/>
        <v>0.26597222222222222</v>
      </c>
      <c r="F32" s="2">
        <v>0.74513888888888891</v>
      </c>
      <c r="G32" t="s">
        <v>1</v>
      </c>
    </row>
    <row r="33" spans="2:7" x14ac:dyDescent="0.25">
      <c r="B33" t="s">
        <v>29</v>
      </c>
      <c r="C33" t="s">
        <v>68</v>
      </c>
      <c r="D33">
        <f>8*60+7</f>
        <v>487</v>
      </c>
      <c r="E33" s="2">
        <f t="shared" si="0"/>
        <v>0.33819444444444441</v>
      </c>
      <c r="F33" s="2">
        <v>0.81736111111111109</v>
      </c>
      <c r="G33" s="1">
        <v>111941</v>
      </c>
    </row>
    <row r="34" spans="2:7" x14ac:dyDescent="0.25">
      <c r="B34" t="s">
        <v>30</v>
      </c>
      <c r="C34" t="s">
        <v>45</v>
      </c>
      <c r="E34" s="2"/>
      <c r="G34" s="1">
        <v>205177</v>
      </c>
    </row>
    <row r="35" spans="2:7" x14ac:dyDescent="0.25">
      <c r="B35" t="s">
        <v>31</v>
      </c>
      <c r="C35" t="s">
        <v>46</v>
      </c>
      <c r="E35" s="2"/>
      <c r="G35" s="1">
        <v>220369</v>
      </c>
    </row>
    <row r="36" spans="2:7" x14ac:dyDescent="0.25">
      <c r="B36" t="s">
        <v>32</v>
      </c>
      <c r="C36" t="s">
        <v>47</v>
      </c>
      <c r="E36" s="2"/>
      <c r="G36" s="1">
        <v>253342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38"/>
  <sheetViews>
    <sheetView workbookViewId="0">
      <selection activeCell="G6" sqref="G6:G36"/>
    </sheetView>
  </sheetViews>
  <sheetFormatPr defaultRowHeight="15" x14ac:dyDescent="0.25"/>
  <cols>
    <col min="2" max="2" width="15.7109375" customWidth="1"/>
    <col min="3" max="3" width="15.28515625" customWidth="1"/>
    <col min="4" max="4" width="17" customWidth="1"/>
    <col min="5" max="5" width="14.140625" customWidth="1"/>
    <col min="6" max="6" width="13.7109375" customWidth="1"/>
    <col min="7" max="7" width="12" customWidth="1"/>
  </cols>
  <sheetData>
    <row r="3" spans="2:7" x14ac:dyDescent="0.25">
      <c r="B3" t="s">
        <v>38</v>
      </c>
      <c r="F3" s="2">
        <v>0.47916666666666669</v>
      </c>
    </row>
    <row r="5" spans="2:7" x14ac:dyDescent="0.25">
      <c r="B5" t="s">
        <v>33</v>
      </c>
      <c r="C5" t="s">
        <v>39</v>
      </c>
      <c r="D5" t="s">
        <v>71</v>
      </c>
      <c r="E5" t="s">
        <v>70</v>
      </c>
      <c r="F5" t="s">
        <v>69</v>
      </c>
      <c r="G5" t="s">
        <v>34</v>
      </c>
    </row>
    <row r="6" spans="2:7" x14ac:dyDescent="0.25">
      <c r="B6" t="s">
        <v>0</v>
      </c>
      <c r="C6" t="s">
        <v>40</v>
      </c>
      <c r="F6" s="2">
        <v>0.39166666666666666</v>
      </c>
      <c r="G6" s="1">
        <v>38743</v>
      </c>
    </row>
    <row r="7" spans="2:7" x14ac:dyDescent="0.25">
      <c r="B7" t="s">
        <v>2</v>
      </c>
      <c r="C7" t="s">
        <v>41</v>
      </c>
      <c r="F7" s="2">
        <v>0.39444444444444443</v>
      </c>
      <c r="G7" s="1">
        <v>41768</v>
      </c>
    </row>
    <row r="8" spans="2:7" x14ac:dyDescent="0.25">
      <c r="B8" t="s">
        <v>3</v>
      </c>
      <c r="C8" t="s">
        <v>42</v>
      </c>
      <c r="F8" s="2">
        <v>0.3979166666666667</v>
      </c>
      <c r="G8" s="1">
        <v>45362</v>
      </c>
    </row>
    <row r="9" spans="2:7" x14ac:dyDescent="0.25">
      <c r="B9" t="s">
        <v>4</v>
      </c>
      <c r="C9" t="s">
        <v>43</v>
      </c>
      <c r="F9" s="2">
        <v>0.39930555555555558</v>
      </c>
      <c r="G9" s="1">
        <v>43503</v>
      </c>
    </row>
    <row r="10" spans="2:7" x14ac:dyDescent="0.25">
      <c r="B10" t="s">
        <v>5</v>
      </c>
      <c r="C10" t="s">
        <v>44</v>
      </c>
      <c r="F10" s="2">
        <v>0.40138888888888885</v>
      </c>
      <c r="G10" s="1">
        <v>42796</v>
      </c>
    </row>
    <row r="11" spans="2:7" x14ac:dyDescent="0.25">
      <c r="B11" t="s">
        <v>6</v>
      </c>
      <c r="C11" t="s">
        <v>48</v>
      </c>
      <c r="F11" s="2">
        <v>0.4145833333333333</v>
      </c>
      <c r="G11" s="1">
        <v>2333</v>
      </c>
    </row>
    <row r="12" spans="2:7" x14ac:dyDescent="0.25">
      <c r="B12" t="s">
        <v>7</v>
      </c>
      <c r="C12" t="s">
        <v>49</v>
      </c>
      <c r="F12" s="2">
        <v>0.41597222222222219</v>
      </c>
      <c r="G12" s="1">
        <v>2202</v>
      </c>
    </row>
    <row r="13" spans="2:7" x14ac:dyDescent="0.25">
      <c r="B13" t="s">
        <v>8</v>
      </c>
      <c r="C13" t="s">
        <v>50</v>
      </c>
      <c r="F13" s="2">
        <v>0.41805555555555557</v>
      </c>
      <c r="G13" s="1">
        <v>2205</v>
      </c>
    </row>
    <row r="14" spans="2:7" x14ac:dyDescent="0.25">
      <c r="B14" t="s">
        <v>9</v>
      </c>
      <c r="C14" t="s">
        <v>51</v>
      </c>
      <c r="F14" s="2">
        <v>0.43958333333333338</v>
      </c>
      <c r="G14" s="1">
        <v>2139</v>
      </c>
    </row>
    <row r="15" spans="2:7" x14ac:dyDescent="0.25">
      <c r="B15" t="s">
        <v>10</v>
      </c>
      <c r="C15" t="s">
        <v>52</v>
      </c>
      <c r="F15" s="2">
        <v>0.44097222222222227</v>
      </c>
      <c r="G15" s="1">
        <v>2134</v>
      </c>
    </row>
    <row r="16" spans="2:7" x14ac:dyDescent="0.25">
      <c r="B16" t="s">
        <v>11</v>
      </c>
      <c r="C16" t="s">
        <v>53</v>
      </c>
      <c r="F16" s="2">
        <v>0.46111111111111108</v>
      </c>
      <c r="G16" s="1">
        <v>2177</v>
      </c>
    </row>
    <row r="17" spans="2:7" x14ac:dyDescent="0.25">
      <c r="B17" t="s">
        <v>12</v>
      </c>
      <c r="C17" t="s">
        <v>54</v>
      </c>
      <c r="D17">
        <f>24</f>
        <v>24</v>
      </c>
      <c r="E17" s="2">
        <f t="shared" ref="E17:E34" si="0">F17-$F$4</f>
        <v>0.49583333333333335</v>
      </c>
      <c r="F17" s="2">
        <v>0.49583333333333335</v>
      </c>
      <c r="G17" s="1">
        <v>2155</v>
      </c>
    </row>
    <row r="18" spans="2:7" x14ac:dyDescent="0.25">
      <c r="B18" t="s">
        <v>13</v>
      </c>
      <c r="C18" t="s">
        <v>55</v>
      </c>
      <c r="D18">
        <f>50</f>
        <v>50</v>
      </c>
      <c r="E18" s="2">
        <f t="shared" si="0"/>
        <v>0.51388888888888895</v>
      </c>
      <c r="F18" s="2">
        <v>0.51388888888888895</v>
      </c>
      <c r="G18" s="1">
        <v>2137</v>
      </c>
    </row>
    <row r="19" spans="2:7" x14ac:dyDescent="0.25">
      <c r="B19" t="s">
        <v>14</v>
      </c>
      <c r="C19" t="s">
        <v>56</v>
      </c>
      <c r="D19">
        <f>60*1+14</f>
        <v>74</v>
      </c>
      <c r="E19" s="2">
        <f t="shared" si="0"/>
        <v>0.53055555555555556</v>
      </c>
      <c r="F19" s="2">
        <v>0.53055555555555556</v>
      </c>
      <c r="G19" s="1">
        <v>2138</v>
      </c>
    </row>
    <row r="20" spans="2:7" x14ac:dyDescent="0.25">
      <c r="B20" t="s">
        <v>15</v>
      </c>
      <c r="C20" t="s">
        <v>57</v>
      </c>
      <c r="D20">
        <f>1*60+34</f>
        <v>94</v>
      </c>
      <c r="E20" s="2">
        <f t="shared" si="0"/>
        <v>0.5444444444444444</v>
      </c>
      <c r="F20" s="2">
        <v>0.5444444444444444</v>
      </c>
      <c r="G20" s="1">
        <v>2160</v>
      </c>
    </row>
    <row r="21" spans="2:7" x14ac:dyDescent="0.25">
      <c r="B21" t="s">
        <v>16</v>
      </c>
      <c r="C21" t="s">
        <v>58</v>
      </c>
      <c r="D21">
        <f>1*60+36</f>
        <v>96</v>
      </c>
      <c r="E21" s="2">
        <f t="shared" si="0"/>
        <v>0.54583333333333328</v>
      </c>
      <c r="F21" s="2">
        <v>0.54583333333333328</v>
      </c>
      <c r="G21" s="1">
        <v>1992</v>
      </c>
    </row>
    <row r="22" spans="2:7" x14ac:dyDescent="0.25">
      <c r="B22" t="s">
        <v>17</v>
      </c>
      <c r="C22" t="s">
        <v>59</v>
      </c>
      <c r="D22">
        <f>2*60+1</f>
        <v>121</v>
      </c>
      <c r="E22" s="2">
        <f t="shared" si="0"/>
        <v>0.56319444444444444</v>
      </c>
      <c r="F22" s="2">
        <v>0.56319444444444444</v>
      </c>
      <c r="G22" s="1">
        <v>2201</v>
      </c>
    </row>
    <row r="23" spans="2:7" x14ac:dyDescent="0.25">
      <c r="B23" t="s">
        <v>18</v>
      </c>
      <c r="C23" t="s">
        <v>58</v>
      </c>
      <c r="D23">
        <f>60*2+3</f>
        <v>123</v>
      </c>
      <c r="E23" s="2">
        <f t="shared" si="0"/>
        <v>0.56458333333333333</v>
      </c>
      <c r="F23" s="2">
        <v>0.56458333333333333</v>
      </c>
      <c r="G23" s="1">
        <v>2099</v>
      </c>
    </row>
    <row r="24" spans="2:7" x14ac:dyDescent="0.25">
      <c r="B24" t="s">
        <v>19</v>
      </c>
      <c r="C24" t="s">
        <v>60</v>
      </c>
      <c r="D24">
        <f>2*60+28</f>
        <v>148</v>
      </c>
      <c r="E24" s="2">
        <f t="shared" si="0"/>
        <v>0.58194444444444449</v>
      </c>
      <c r="F24" s="2">
        <v>0.58194444444444449</v>
      </c>
      <c r="G24" s="1">
        <v>2633</v>
      </c>
    </row>
    <row r="25" spans="2:7" x14ac:dyDescent="0.25">
      <c r="B25" t="s">
        <v>20</v>
      </c>
      <c r="C25" t="s">
        <v>61</v>
      </c>
      <c r="D25">
        <f>2*60+51</f>
        <v>171</v>
      </c>
      <c r="E25" s="2">
        <f t="shared" si="0"/>
        <v>0.59791666666666665</v>
      </c>
      <c r="F25" s="2">
        <v>0.59791666666666665</v>
      </c>
      <c r="G25" s="1">
        <v>3195</v>
      </c>
    </row>
    <row r="26" spans="2:7" x14ac:dyDescent="0.25">
      <c r="B26" t="s">
        <v>21</v>
      </c>
      <c r="C26" t="s">
        <v>48</v>
      </c>
      <c r="D26">
        <f>2*60+53</f>
        <v>173</v>
      </c>
      <c r="E26" s="2">
        <f t="shared" si="0"/>
        <v>0.59930555555555554</v>
      </c>
      <c r="F26" s="2">
        <v>0.59930555555555554</v>
      </c>
      <c r="G26" s="1">
        <v>4601</v>
      </c>
    </row>
    <row r="27" spans="2:7" x14ac:dyDescent="0.25">
      <c r="B27" t="s">
        <v>22</v>
      </c>
      <c r="C27" t="s">
        <v>62</v>
      </c>
      <c r="D27">
        <f>3*60+12</f>
        <v>192</v>
      </c>
      <c r="E27" s="2">
        <f t="shared" si="0"/>
        <v>0.61249999999999993</v>
      </c>
      <c r="F27" s="2">
        <v>0.61249999999999993</v>
      </c>
      <c r="G27" s="1">
        <v>3116</v>
      </c>
    </row>
    <row r="28" spans="2:7" x14ac:dyDescent="0.25">
      <c r="B28" t="s">
        <v>23</v>
      </c>
      <c r="C28" t="s">
        <v>48</v>
      </c>
      <c r="D28">
        <f>3*60+14</f>
        <v>194</v>
      </c>
      <c r="E28" s="2">
        <f t="shared" si="0"/>
        <v>0.61388888888888882</v>
      </c>
      <c r="F28" s="2">
        <v>0.61388888888888882</v>
      </c>
      <c r="G28" s="1">
        <v>5122</v>
      </c>
    </row>
    <row r="29" spans="2:7" x14ac:dyDescent="0.25">
      <c r="B29" t="s">
        <v>24</v>
      </c>
      <c r="C29" t="s">
        <v>63</v>
      </c>
      <c r="D29">
        <f>3*60+53</f>
        <v>233</v>
      </c>
      <c r="E29" s="2">
        <f t="shared" si="0"/>
        <v>0.64097222222222217</v>
      </c>
      <c r="F29" s="2">
        <v>0.64097222222222217</v>
      </c>
      <c r="G29" s="1">
        <v>3927</v>
      </c>
    </row>
    <row r="30" spans="2:7" x14ac:dyDescent="0.25">
      <c r="B30" t="s">
        <v>25</v>
      </c>
      <c r="C30" t="s">
        <v>64</v>
      </c>
      <c r="D30">
        <f>4*60+36</f>
        <v>276</v>
      </c>
      <c r="E30" s="2">
        <f t="shared" si="0"/>
        <v>0.67083333333333339</v>
      </c>
      <c r="F30" s="2">
        <v>0.67083333333333339</v>
      </c>
      <c r="G30" s="1">
        <v>6013</v>
      </c>
    </row>
    <row r="31" spans="2:7" x14ac:dyDescent="0.25">
      <c r="B31" t="s">
        <v>26</v>
      </c>
      <c r="C31" t="s">
        <v>65</v>
      </c>
      <c r="D31">
        <f>4*60+59</f>
        <v>299</v>
      </c>
      <c r="E31" s="2">
        <f t="shared" si="0"/>
        <v>0.68680555555555556</v>
      </c>
      <c r="F31" s="2">
        <v>0.68680555555555556</v>
      </c>
      <c r="G31" s="1">
        <v>6452</v>
      </c>
    </row>
    <row r="32" spans="2:7" x14ac:dyDescent="0.25">
      <c r="B32" t="s">
        <v>27</v>
      </c>
      <c r="C32" t="s">
        <v>66</v>
      </c>
      <c r="D32">
        <f>5*60+26</f>
        <v>326</v>
      </c>
      <c r="E32" s="2">
        <f t="shared" si="0"/>
        <v>0.7055555555555556</v>
      </c>
      <c r="F32" s="2">
        <v>0.7055555555555556</v>
      </c>
      <c r="G32" s="1">
        <v>7589</v>
      </c>
    </row>
    <row r="33" spans="2:7" x14ac:dyDescent="0.25">
      <c r="B33" t="s">
        <v>28</v>
      </c>
      <c r="C33" t="s">
        <v>67</v>
      </c>
      <c r="D33">
        <f>6*60+23</f>
        <v>383</v>
      </c>
      <c r="E33" s="2">
        <f t="shared" si="0"/>
        <v>0.74513888888888891</v>
      </c>
      <c r="F33" s="2">
        <v>0.74513888888888891</v>
      </c>
      <c r="G33" s="1">
        <v>9009</v>
      </c>
    </row>
    <row r="34" spans="2:7" x14ac:dyDescent="0.25">
      <c r="B34" t="s">
        <v>29</v>
      </c>
      <c r="C34" t="s">
        <v>68</v>
      </c>
      <c r="D34">
        <f>8*60+7</f>
        <v>487</v>
      </c>
      <c r="E34" s="2">
        <f t="shared" si="0"/>
        <v>0.81736111111111109</v>
      </c>
      <c r="F34" s="2">
        <v>0.81736111111111109</v>
      </c>
      <c r="G34" s="1">
        <v>11629</v>
      </c>
    </row>
    <row r="35" spans="2:7" x14ac:dyDescent="0.25">
      <c r="B35" t="s">
        <v>30</v>
      </c>
      <c r="C35" t="s">
        <v>45</v>
      </c>
      <c r="E35" s="2"/>
      <c r="G35" s="1">
        <v>27994</v>
      </c>
    </row>
    <row r="36" spans="2:7" x14ac:dyDescent="0.25">
      <c r="B36" t="s">
        <v>31</v>
      </c>
      <c r="C36" t="s">
        <v>46</v>
      </c>
      <c r="E36" s="2"/>
      <c r="G36" s="1">
        <v>28437</v>
      </c>
    </row>
    <row r="37" spans="2:7" x14ac:dyDescent="0.25">
      <c r="B37" t="s">
        <v>32</v>
      </c>
      <c r="C37" t="s">
        <v>47</v>
      </c>
      <c r="E37" s="2"/>
    </row>
    <row r="38" spans="2:7" x14ac:dyDescent="0.25">
      <c r="C38" s="1">
        <v>32414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76"/>
  <sheetViews>
    <sheetView topLeftCell="A40" workbookViewId="0">
      <selection activeCell="G45" sqref="G45:G76"/>
    </sheetView>
  </sheetViews>
  <sheetFormatPr defaultRowHeight="15" x14ac:dyDescent="0.25"/>
  <cols>
    <col min="2" max="3" width="18.28515625" customWidth="1"/>
    <col min="4" max="4" width="17.85546875" customWidth="1"/>
    <col min="5" max="5" width="13.140625" customWidth="1"/>
    <col min="7" max="7" width="16.42578125" customWidth="1"/>
  </cols>
  <sheetData>
    <row r="3" spans="2:7" x14ac:dyDescent="0.25">
      <c r="B3" t="s">
        <v>37</v>
      </c>
      <c r="F3" s="2">
        <v>0.47916666666666669</v>
      </c>
    </row>
    <row r="5" spans="2:7" x14ac:dyDescent="0.25">
      <c r="B5" t="s">
        <v>33</v>
      </c>
      <c r="C5" t="s">
        <v>39</v>
      </c>
      <c r="D5" t="s">
        <v>71</v>
      </c>
      <c r="E5" t="s">
        <v>70</v>
      </c>
      <c r="F5" t="s">
        <v>69</v>
      </c>
      <c r="G5" t="s">
        <v>34</v>
      </c>
    </row>
    <row r="6" spans="2:7" x14ac:dyDescent="0.25">
      <c r="B6" t="s">
        <v>0</v>
      </c>
      <c r="C6" t="s">
        <v>40</v>
      </c>
      <c r="F6" s="2">
        <v>0.39166666666666666</v>
      </c>
      <c r="G6" s="1">
        <v>13558865</v>
      </c>
    </row>
    <row r="7" spans="2:7" x14ac:dyDescent="0.25">
      <c r="B7" t="s">
        <v>2</v>
      </c>
      <c r="C7" t="s">
        <v>41</v>
      </c>
      <c r="F7" s="2">
        <v>0.39444444444444443</v>
      </c>
      <c r="G7" s="1">
        <v>14598976</v>
      </c>
    </row>
    <row r="8" spans="2:7" x14ac:dyDescent="0.25">
      <c r="B8" t="s">
        <v>3</v>
      </c>
      <c r="C8" t="s">
        <v>42</v>
      </c>
      <c r="F8" s="2">
        <v>0.3979166666666667</v>
      </c>
      <c r="G8" s="1">
        <v>14678123</v>
      </c>
    </row>
    <row r="9" spans="2:7" x14ac:dyDescent="0.25">
      <c r="B9" t="s">
        <v>4</v>
      </c>
      <c r="C9" t="s">
        <v>43</v>
      </c>
      <c r="F9" s="2">
        <v>0.39930555555555558</v>
      </c>
      <c r="G9" s="1">
        <v>14330488</v>
      </c>
    </row>
    <row r="10" spans="2:7" x14ac:dyDescent="0.25">
      <c r="B10" t="s">
        <v>5</v>
      </c>
      <c r="C10" t="s">
        <v>44</v>
      </c>
      <c r="F10" s="2">
        <v>0.40138888888888885</v>
      </c>
      <c r="G10" s="1">
        <v>14297503</v>
      </c>
    </row>
    <row r="11" spans="2:7" x14ac:dyDescent="0.25">
      <c r="B11" t="s">
        <v>6</v>
      </c>
      <c r="C11" t="s">
        <v>48</v>
      </c>
      <c r="F11" s="2">
        <v>0.4145833333333333</v>
      </c>
      <c r="G11" s="1">
        <v>850228</v>
      </c>
    </row>
    <row r="12" spans="2:7" x14ac:dyDescent="0.25">
      <c r="B12" t="s">
        <v>7</v>
      </c>
      <c r="C12" t="s">
        <v>49</v>
      </c>
      <c r="F12" s="2">
        <v>0.41597222222222219</v>
      </c>
      <c r="G12" s="1">
        <v>2466266</v>
      </c>
    </row>
    <row r="13" spans="2:7" x14ac:dyDescent="0.25">
      <c r="B13" t="s">
        <v>8</v>
      </c>
      <c r="C13" t="s">
        <v>50</v>
      </c>
      <c r="F13" s="2">
        <v>0.41805555555555557</v>
      </c>
      <c r="G13" s="1">
        <v>1629694</v>
      </c>
    </row>
    <row r="14" spans="2:7" x14ac:dyDescent="0.25">
      <c r="B14" t="s">
        <v>9</v>
      </c>
      <c r="C14" t="s">
        <v>51</v>
      </c>
      <c r="F14" s="2">
        <v>0.43958333333333338</v>
      </c>
      <c r="G14" s="1">
        <v>1010279</v>
      </c>
    </row>
    <row r="15" spans="2:7" x14ac:dyDescent="0.25">
      <c r="B15" t="s">
        <v>10</v>
      </c>
      <c r="C15" t="s">
        <v>52</v>
      </c>
      <c r="F15" s="2">
        <v>0.44097222222222227</v>
      </c>
      <c r="G15" s="1">
        <v>1013199</v>
      </c>
    </row>
    <row r="16" spans="2:7" x14ac:dyDescent="0.25">
      <c r="B16" t="s">
        <v>11</v>
      </c>
      <c r="C16" t="s">
        <v>53</v>
      </c>
      <c r="F16" s="2">
        <v>0.46111111111111108</v>
      </c>
      <c r="G16" s="1">
        <v>1205936</v>
      </c>
    </row>
    <row r="17" spans="2:7" x14ac:dyDescent="0.25">
      <c r="B17" t="s">
        <v>12</v>
      </c>
      <c r="C17" t="s">
        <v>54</v>
      </c>
      <c r="D17">
        <f>24</f>
        <v>24</v>
      </c>
      <c r="E17" s="2">
        <f t="shared" ref="E17:E34" si="0">F17-$F$4</f>
        <v>0.49583333333333335</v>
      </c>
      <c r="F17" s="2">
        <v>0.49583333333333335</v>
      </c>
      <c r="G17" s="1">
        <v>952135</v>
      </c>
    </row>
    <row r="18" spans="2:7" x14ac:dyDescent="0.25">
      <c r="B18" t="s">
        <v>13</v>
      </c>
      <c r="C18" t="s">
        <v>55</v>
      </c>
      <c r="D18">
        <f>50</f>
        <v>50</v>
      </c>
      <c r="E18" s="2">
        <f t="shared" si="0"/>
        <v>0.51388888888888895</v>
      </c>
      <c r="F18" s="2">
        <v>0.51388888888888895</v>
      </c>
      <c r="G18" s="1">
        <v>1104342</v>
      </c>
    </row>
    <row r="19" spans="2:7" x14ac:dyDescent="0.25">
      <c r="B19" t="s">
        <v>14</v>
      </c>
      <c r="C19" t="s">
        <v>56</v>
      </c>
      <c r="D19">
        <f>60*1+14</f>
        <v>74</v>
      </c>
      <c r="E19" s="2">
        <f t="shared" si="0"/>
        <v>0.53055555555555556</v>
      </c>
      <c r="F19" s="2">
        <v>0.53055555555555556</v>
      </c>
      <c r="G19" s="1">
        <v>1282389</v>
      </c>
    </row>
    <row r="20" spans="2:7" x14ac:dyDescent="0.25">
      <c r="B20" t="s">
        <v>15</v>
      </c>
      <c r="C20" t="s">
        <v>57</v>
      </c>
      <c r="D20">
        <f>1*60+34</f>
        <v>94</v>
      </c>
      <c r="E20" s="2">
        <f t="shared" si="0"/>
        <v>0.5444444444444444</v>
      </c>
      <c r="F20" s="2">
        <v>0.5444444444444444</v>
      </c>
      <c r="G20" s="1">
        <v>1173886</v>
      </c>
    </row>
    <row r="21" spans="2:7" x14ac:dyDescent="0.25">
      <c r="B21" t="s">
        <v>16</v>
      </c>
      <c r="C21" t="s">
        <v>58</v>
      </c>
      <c r="D21">
        <f>1*60+36</f>
        <v>96</v>
      </c>
      <c r="E21" s="2">
        <f t="shared" si="0"/>
        <v>0.54583333333333328</v>
      </c>
      <c r="F21" s="2">
        <v>0.54583333333333328</v>
      </c>
      <c r="G21" s="1">
        <v>1198812</v>
      </c>
    </row>
    <row r="22" spans="2:7" x14ac:dyDescent="0.25">
      <c r="B22" t="s">
        <v>17</v>
      </c>
      <c r="C22" t="s">
        <v>59</v>
      </c>
      <c r="D22">
        <f>2*60+1</f>
        <v>121</v>
      </c>
      <c r="E22" s="2">
        <f t="shared" si="0"/>
        <v>0.56319444444444444</v>
      </c>
      <c r="F22" s="2">
        <v>0.56319444444444444</v>
      </c>
      <c r="G22" s="1">
        <v>1819744</v>
      </c>
    </row>
    <row r="23" spans="2:7" x14ac:dyDescent="0.25">
      <c r="B23" t="s">
        <v>18</v>
      </c>
      <c r="C23" t="s">
        <v>58</v>
      </c>
      <c r="D23">
        <f>60*2+3</f>
        <v>123</v>
      </c>
      <c r="E23" s="2">
        <f t="shared" si="0"/>
        <v>0.56458333333333333</v>
      </c>
      <c r="F23" s="2">
        <v>0.56458333333333333</v>
      </c>
      <c r="G23" s="1">
        <v>1407541</v>
      </c>
    </row>
    <row r="24" spans="2:7" x14ac:dyDescent="0.25">
      <c r="B24" t="s">
        <v>19</v>
      </c>
      <c r="C24" t="s">
        <v>60</v>
      </c>
      <c r="D24">
        <f>2*60+28</f>
        <v>148</v>
      </c>
      <c r="E24" s="2">
        <f t="shared" si="0"/>
        <v>0.58194444444444449</v>
      </c>
      <c r="F24" s="2">
        <v>0.58194444444444449</v>
      </c>
      <c r="G24" s="1">
        <v>3276137</v>
      </c>
    </row>
    <row r="25" spans="2:7" x14ac:dyDescent="0.25">
      <c r="B25" t="s">
        <v>20</v>
      </c>
      <c r="C25" t="s">
        <v>61</v>
      </c>
      <c r="D25">
        <f>2*60+51</f>
        <v>171</v>
      </c>
      <c r="E25" s="2">
        <f t="shared" si="0"/>
        <v>0.59791666666666665</v>
      </c>
      <c r="F25" s="2">
        <v>0.59791666666666665</v>
      </c>
      <c r="G25" s="1">
        <v>1574109</v>
      </c>
    </row>
    <row r="26" spans="2:7" x14ac:dyDescent="0.25">
      <c r="B26" t="s">
        <v>21</v>
      </c>
      <c r="C26" t="s">
        <v>48</v>
      </c>
      <c r="D26">
        <f>2*60+53</f>
        <v>173</v>
      </c>
      <c r="E26" s="2">
        <f t="shared" si="0"/>
        <v>0.59930555555555554</v>
      </c>
      <c r="F26" s="2">
        <v>0.59930555555555554</v>
      </c>
      <c r="G26" s="1">
        <v>1747241</v>
      </c>
    </row>
    <row r="27" spans="2:7" x14ac:dyDescent="0.25">
      <c r="B27" t="s">
        <v>22</v>
      </c>
      <c r="C27" t="s">
        <v>62</v>
      </c>
      <c r="D27">
        <f>3*60+12</f>
        <v>192</v>
      </c>
      <c r="E27" s="2">
        <f t="shared" si="0"/>
        <v>0.61249999999999993</v>
      </c>
      <c r="F27" s="2">
        <v>0.61249999999999993</v>
      </c>
      <c r="G27" s="1">
        <v>2357248</v>
      </c>
    </row>
    <row r="28" spans="2:7" x14ac:dyDescent="0.25">
      <c r="B28" t="s">
        <v>23</v>
      </c>
      <c r="C28" t="s">
        <v>48</v>
      </c>
      <c r="D28">
        <f>3*60+14</f>
        <v>194</v>
      </c>
      <c r="E28" s="2">
        <f t="shared" si="0"/>
        <v>0.61388888888888882</v>
      </c>
      <c r="F28" s="2">
        <v>0.61388888888888882</v>
      </c>
      <c r="G28" s="1">
        <v>858820</v>
      </c>
    </row>
    <row r="29" spans="2:7" x14ac:dyDescent="0.25">
      <c r="B29" t="s">
        <v>24</v>
      </c>
      <c r="C29" t="s">
        <v>63</v>
      </c>
      <c r="D29">
        <f>3*60+53</f>
        <v>233</v>
      </c>
      <c r="E29" s="2">
        <f t="shared" si="0"/>
        <v>0.64097222222222217</v>
      </c>
      <c r="F29" s="2">
        <v>0.64097222222222217</v>
      </c>
      <c r="G29" s="1">
        <v>2745758</v>
      </c>
    </row>
    <row r="30" spans="2:7" x14ac:dyDescent="0.25">
      <c r="B30" t="s">
        <v>25</v>
      </c>
      <c r="C30" t="s">
        <v>64</v>
      </c>
      <c r="D30">
        <f>4*60+36</f>
        <v>276</v>
      </c>
      <c r="E30" s="2">
        <f t="shared" si="0"/>
        <v>0.67083333333333339</v>
      </c>
      <c r="F30" s="2">
        <v>0.67083333333333339</v>
      </c>
      <c r="G30" s="1">
        <v>3496061</v>
      </c>
    </row>
    <row r="31" spans="2:7" x14ac:dyDescent="0.25">
      <c r="B31" t="s">
        <v>26</v>
      </c>
      <c r="C31" t="s">
        <v>65</v>
      </c>
      <c r="D31">
        <f>4*60+59</f>
        <v>299</v>
      </c>
      <c r="E31" s="2">
        <f t="shared" si="0"/>
        <v>0.68680555555555556</v>
      </c>
      <c r="F31" s="2">
        <v>0.68680555555555556</v>
      </c>
      <c r="G31" s="1">
        <v>4481813</v>
      </c>
    </row>
    <row r="32" spans="2:7" x14ac:dyDescent="0.25">
      <c r="B32" t="s">
        <v>27</v>
      </c>
      <c r="C32" t="s">
        <v>66</v>
      </c>
      <c r="D32">
        <f>5*60+26</f>
        <v>326</v>
      </c>
      <c r="E32" s="2">
        <f t="shared" si="0"/>
        <v>0.7055555555555556</v>
      </c>
      <c r="F32" s="2">
        <v>0.7055555555555556</v>
      </c>
      <c r="G32" s="1">
        <v>3832659</v>
      </c>
    </row>
    <row r="33" spans="2:7" x14ac:dyDescent="0.25">
      <c r="B33" t="s">
        <v>28</v>
      </c>
      <c r="C33" t="s">
        <v>67</v>
      </c>
      <c r="D33">
        <f>6*60+23</f>
        <v>383</v>
      </c>
      <c r="E33" s="2">
        <f t="shared" si="0"/>
        <v>0.74513888888888891</v>
      </c>
      <c r="F33" s="2">
        <v>0.74513888888888891</v>
      </c>
      <c r="G33" s="1">
        <v>5284747</v>
      </c>
    </row>
    <row r="34" spans="2:7" x14ac:dyDescent="0.25">
      <c r="B34" t="s">
        <v>29</v>
      </c>
      <c r="C34" t="s">
        <v>68</v>
      </c>
      <c r="D34">
        <f>8*60+7</f>
        <v>487</v>
      </c>
      <c r="E34" s="2">
        <f t="shared" si="0"/>
        <v>0.81736111111111109</v>
      </c>
      <c r="F34" s="2">
        <v>0.81736111111111109</v>
      </c>
      <c r="G34" s="1">
        <v>4973506</v>
      </c>
    </row>
    <row r="35" spans="2:7" x14ac:dyDescent="0.25">
      <c r="B35" t="s">
        <v>30</v>
      </c>
      <c r="C35" t="s">
        <v>45</v>
      </c>
      <c r="E35" s="2"/>
      <c r="G35" s="1">
        <v>13244987</v>
      </c>
    </row>
    <row r="36" spans="2:7" x14ac:dyDescent="0.25">
      <c r="B36" t="s">
        <v>31</v>
      </c>
      <c r="C36" t="s">
        <v>46</v>
      </c>
      <c r="E36" s="2"/>
      <c r="G36" s="1">
        <v>13414216</v>
      </c>
    </row>
    <row r="37" spans="2:7" x14ac:dyDescent="0.25">
      <c r="B37" t="s">
        <v>32</v>
      </c>
      <c r="C37" t="s">
        <v>47</v>
      </c>
      <c r="E37" s="2"/>
    </row>
    <row r="43" spans="2:7" x14ac:dyDescent="0.25">
      <c r="B43" t="s">
        <v>36</v>
      </c>
    </row>
    <row r="44" spans="2:7" x14ac:dyDescent="0.25">
      <c r="B44" t="s">
        <v>33</v>
      </c>
      <c r="C44" t="s">
        <v>39</v>
      </c>
      <c r="D44" t="s">
        <v>71</v>
      </c>
      <c r="E44" t="s">
        <v>70</v>
      </c>
      <c r="F44" t="s">
        <v>69</v>
      </c>
    </row>
    <row r="45" spans="2:7" x14ac:dyDescent="0.25">
      <c r="B45" t="s">
        <v>0</v>
      </c>
      <c r="C45" t="s">
        <v>40</v>
      </c>
      <c r="F45" s="2">
        <v>0.39166666666666666</v>
      </c>
      <c r="G45" s="1">
        <v>105872</v>
      </c>
    </row>
    <row r="46" spans="2:7" x14ac:dyDescent="0.25">
      <c r="B46" t="s">
        <v>2</v>
      </c>
      <c r="C46" t="s">
        <v>41</v>
      </c>
      <c r="F46" s="2">
        <v>0.39444444444444443</v>
      </c>
      <c r="G46" s="1">
        <v>138455</v>
      </c>
    </row>
    <row r="47" spans="2:7" x14ac:dyDescent="0.25">
      <c r="B47" t="s">
        <v>3</v>
      </c>
      <c r="C47" t="s">
        <v>42</v>
      </c>
      <c r="F47" s="2">
        <v>0.3979166666666667</v>
      </c>
      <c r="G47" s="1">
        <v>156739</v>
      </c>
    </row>
    <row r="48" spans="2:7" x14ac:dyDescent="0.25">
      <c r="B48" t="s">
        <v>4</v>
      </c>
      <c r="C48" t="s">
        <v>43</v>
      </c>
      <c r="F48" s="2">
        <v>0.39930555555555558</v>
      </c>
      <c r="G48" s="1">
        <v>153577</v>
      </c>
    </row>
    <row r="49" spans="2:7" x14ac:dyDescent="0.25">
      <c r="B49" t="s">
        <v>5</v>
      </c>
      <c r="C49" t="s">
        <v>44</v>
      </c>
      <c r="F49" s="2">
        <v>0.40138888888888885</v>
      </c>
      <c r="G49" s="1">
        <v>155923</v>
      </c>
    </row>
    <row r="50" spans="2:7" x14ac:dyDescent="0.25">
      <c r="B50" t="s">
        <v>6</v>
      </c>
      <c r="C50" t="s">
        <v>48</v>
      </c>
      <c r="F50" s="2">
        <v>0.4145833333333333</v>
      </c>
      <c r="G50" t="s">
        <v>1</v>
      </c>
    </row>
    <row r="51" spans="2:7" x14ac:dyDescent="0.25">
      <c r="B51" t="s">
        <v>7</v>
      </c>
      <c r="C51" t="s">
        <v>49</v>
      </c>
      <c r="F51" s="2">
        <v>0.41597222222222219</v>
      </c>
      <c r="G51" t="s">
        <v>1</v>
      </c>
    </row>
    <row r="52" spans="2:7" x14ac:dyDescent="0.25">
      <c r="B52" t="s">
        <v>8</v>
      </c>
      <c r="C52" t="s">
        <v>50</v>
      </c>
      <c r="F52" s="2">
        <v>0.41805555555555557</v>
      </c>
      <c r="G52" t="s">
        <v>1</v>
      </c>
    </row>
    <row r="53" spans="2:7" x14ac:dyDescent="0.25">
      <c r="B53" t="s">
        <v>9</v>
      </c>
      <c r="C53" t="s">
        <v>51</v>
      </c>
      <c r="F53" s="2">
        <v>0.43958333333333338</v>
      </c>
      <c r="G53" t="s">
        <v>1</v>
      </c>
    </row>
    <row r="54" spans="2:7" x14ac:dyDescent="0.25">
      <c r="B54" t="s">
        <v>10</v>
      </c>
      <c r="C54" t="s">
        <v>52</v>
      </c>
      <c r="F54" s="2">
        <v>0.44097222222222227</v>
      </c>
      <c r="G54" t="s">
        <v>1</v>
      </c>
    </row>
    <row r="55" spans="2:7" x14ac:dyDescent="0.25">
      <c r="B55" t="s">
        <v>11</v>
      </c>
      <c r="C55" t="s">
        <v>53</v>
      </c>
      <c r="F55" s="2">
        <v>0.46111111111111108</v>
      </c>
      <c r="G55" t="s">
        <v>1</v>
      </c>
    </row>
    <row r="56" spans="2:7" x14ac:dyDescent="0.25">
      <c r="B56" t="s">
        <v>12</v>
      </c>
      <c r="C56" t="s">
        <v>54</v>
      </c>
      <c r="D56">
        <f>24</f>
        <v>24</v>
      </c>
      <c r="E56" s="2">
        <f t="shared" ref="E56:E73" si="1">F56-$F$4</f>
        <v>0.49583333333333335</v>
      </c>
      <c r="F56" s="2">
        <v>0.49583333333333335</v>
      </c>
      <c r="G56" t="s">
        <v>1</v>
      </c>
    </row>
    <row r="57" spans="2:7" x14ac:dyDescent="0.25">
      <c r="B57" t="s">
        <v>13</v>
      </c>
      <c r="C57" t="s">
        <v>55</v>
      </c>
      <c r="D57">
        <f>50</f>
        <v>50</v>
      </c>
      <c r="E57" s="2">
        <f t="shared" si="1"/>
        <v>0.51388888888888895</v>
      </c>
      <c r="F57" s="2">
        <v>0.51388888888888895</v>
      </c>
      <c r="G57" t="s">
        <v>1</v>
      </c>
    </row>
    <row r="58" spans="2:7" x14ac:dyDescent="0.25">
      <c r="B58" t="s">
        <v>14</v>
      </c>
      <c r="C58" t="s">
        <v>56</v>
      </c>
      <c r="D58">
        <f>60*1+14</f>
        <v>74</v>
      </c>
      <c r="E58" s="2">
        <f t="shared" si="1"/>
        <v>0.53055555555555556</v>
      </c>
      <c r="F58" s="2">
        <v>0.53055555555555556</v>
      </c>
      <c r="G58" t="s">
        <v>1</v>
      </c>
    </row>
    <row r="59" spans="2:7" x14ac:dyDescent="0.25">
      <c r="B59" t="s">
        <v>15</v>
      </c>
      <c r="C59" t="s">
        <v>57</v>
      </c>
      <c r="D59">
        <f>1*60+34</f>
        <v>94</v>
      </c>
      <c r="E59" s="2">
        <f t="shared" si="1"/>
        <v>0.5444444444444444</v>
      </c>
      <c r="F59" s="2">
        <v>0.5444444444444444</v>
      </c>
      <c r="G59" s="1">
        <v>1711</v>
      </c>
    </row>
    <row r="60" spans="2:7" x14ac:dyDescent="0.25">
      <c r="B60" t="s">
        <v>16</v>
      </c>
      <c r="C60" t="s">
        <v>58</v>
      </c>
      <c r="D60">
        <f>1*60+36</f>
        <v>96</v>
      </c>
      <c r="E60" s="2">
        <f t="shared" si="1"/>
        <v>0.54583333333333328</v>
      </c>
      <c r="F60" s="2">
        <v>0.54583333333333328</v>
      </c>
      <c r="G60" t="s">
        <v>1</v>
      </c>
    </row>
    <row r="61" spans="2:7" x14ac:dyDescent="0.25">
      <c r="B61" t="s">
        <v>17</v>
      </c>
      <c r="C61" t="s">
        <v>59</v>
      </c>
      <c r="D61">
        <f>2*60+1</f>
        <v>121</v>
      </c>
      <c r="E61" s="2">
        <f t="shared" si="1"/>
        <v>0.56319444444444444</v>
      </c>
      <c r="F61" s="2">
        <v>0.56319444444444444</v>
      </c>
      <c r="G61" s="1">
        <v>1674</v>
      </c>
    </row>
    <row r="62" spans="2:7" x14ac:dyDescent="0.25">
      <c r="B62" t="s">
        <v>18</v>
      </c>
      <c r="C62" t="s">
        <v>58</v>
      </c>
      <c r="D62">
        <f>60*2+3</f>
        <v>123</v>
      </c>
      <c r="E62" s="2">
        <f t="shared" si="1"/>
        <v>0.56458333333333333</v>
      </c>
      <c r="F62" s="2">
        <v>0.56458333333333333</v>
      </c>
      <c r="G62" s="1">
        <v>1031</v>
      </c>
    </row>
    <row r="63" spans="2:7" x14ac:dyDescent="0.25">
      <c r="B63" t="s">
        <v>19</v>
      </c>
      <c r="C63" t="s">
        <v>60</v>
      </c>
      <c r="D63">
        <f>2*60+28</f>
        <v>148</v>
      </c>
      <c r="E63" s="2">
        <f t="shared" si="1"/>
        <v>0.58194444444444449</v>
      </c>
      <c r="F63" s="2">
        <v>0.58194444444444449</v>
      </c>
      <c r="G63" s="1">
        <v>7419</v>
      </c>
    </row>
    <row r="64" spans="2:7" x14ac:dyDescent="0.25">
      <c r="B64" t="s">
        <v>20</v>
      </c>
      <c r="C64" t="s">
        <v>61</v>
      </c>
      <c r="D64">
        <f>2*60+51</f>
        <v>171</v>
      </c>
      <c r="E64" s="2">
        <f t="shared" si="1"/>
        <v>0.59791666666666665</v>
      </c>
      <c r="F64" s="2">
        <v>0.59791666666666665</v>
      </c>
      <c r="G64" s="1">
        <v>32994</v>
      </c>
    </row>
    <row r="65" spans="2:7" x14ac:dyDescent="0.25">
      <c r="B65" t="s">
        <v>21</v>
      </c>
      <c r="C65" t="s">
        <v>48</v>
      </c>
      <c r="D65">
        <f>2*60+53</f>
        <v>173</v>
      </c>
      <c r="E65" s="2">
        <f t="shared" si="1"/>
        <v>0.59930555555555554</v>
      </c>
      <c r="F65" s="2">
        <v>0.59930555555555554</v>
      </c>
      <c r="G65" s="1">
        <v>26359</v>
      </c>
    </row>
    <row r="66" spans="2:7" x14ac:dyDescent="0.25">
      <c r="B66" t="s">
        <v>22</v>
      </c>
      <c r="C66" t="s">
        <v>62</v>
      </c>
      <c r="D66">
        <f>3*60+12</f>
        <v>192</v>
      </c>
      <c r="E66" s="2">
        <f t="shared" si="1"/>
        <v>0.61249999999999993</v>
      </c>
      <c r="F66" s="2">
        <v>0.61249999999999993</v>
      </c>
      <c r="G66" s="1">
        <v>15314</v>
      </c>
    </row>
    <row r="67" spans="2:7" x14ac:dyDescent="0.25">
      <c r="B67" t="s">
        <v>23</v>
      </c>
      <c r="C67" t="s">
        <v>48</v>
      </c>
      <c r="D67">
        <f>3*60+14</f>
        <v>194</v>
      </c>
      <c r="E67" s="2">
        <f t="shared" si="1"/>
        <v>0.61388888888888882</v>
      </c>
      <c r="F67" s="2">
        <v>0.61388888888888882</v>
      </c>
      <c r="G67" s="1">
        <v>28330</v>
      </c>
    </row>
    <row r="68" spans="2:7" x14ac:dyDescent="0.25">
      <c r="B68" t="s">
        <v>24</v>
      </c>
      <c r="C68" t="s">
        <v>63</v>
      </c>
      <c r="D68">
        <f>3*60+53</f>
        <v>233</v>
      </c>
      <c r="E68" s="2">
        <f t="shared" si="1"/>
        <v>0.64097222222222217</v>
      </c>
      <c r="F68" s="2">
        <v>0.64097222222222217</v>
      </c>
      <c r="G68" s="1">
        <v>26190</v>
      </c>
    </row>
    <row r="69" spans="2:7" x14ac:dyDescent="0.25">
      <c r="B69" t="s">
        <v>25</v>
      </c>
      <c r="C69" t="s">
        <v>64</v>
      </c>
      <c r="D69">
        <f>4*60+36</f>
        <v>276</v>
      </c>
      <c r="E69" s="2">
        <f t="shared" si="1"/>
        <v>0.67083333333333339</v>
      </c>
      <c r="F69" s="2">
        <v>0.67083333333333339</v>
      </c>
      <c r="G69" s="1">
        <v>45661</v>
      </c>
    </row>
    <row r="70" spans="2:7" x14ac:dyDescent="0.25">
      <c r="B70" t="s">
        <v>26</v>
      </c>
      <c r="C70" t="s">
        <v>65</v>
      </c>
      <c r="D70">
        <f>4*60+59</f>
        <v>299</v>
      </c>
      <c r="E70" s="2">
        <f t="shared" si="1"/>
        <v>0.68680555555555556</v>
      </c>
      <c r="F70" s="2">
        <v>0.68680555555555556</v>
      </c>
      <c r="G70" s="1">
        <v>49334</v>
      </c>
    </row>
    <row r="71" spans="2:7" x14ac:dyDescent="0.25">
      <c r="B71" t="s">
        <v>27</v>
      </c>
      <c r="C71" t="s">
        <v>66</v>
      </c>
      <c r="D71">
        <f>5*60+26</f>
        <v>326</v>
      </c>
      <c r="E71" s="2">
        <f t="shared" si="1"/>
        <v>0.7055555555555556</v>
      </c>
      <c r="F71" s="2">
        <v>0.7055555555555556</v>
      </c>
      <c r="G71" s="1">
        <v>58120</v>
      </c>
    </row>
    <row r="72" spans="2:7" x14ac:dyDescent="0.25">
      <c r="B72" t="s">
        <v>28</v>
      </c>
      <c r="C72" t="s">
        <v>67</v>
      </c>
      <c r="D72">
        <f>6*60+23</f>
        <v>383</v>
      </c>
      <c r="E72" s="2">
        <f t="shared" si="1"/>
        <v>0.74513888888888891</v>
      </c>
      <c r="F72" s="2">
        <v>0.74513888888888891</v>
      </c>
      <c r="G72" s="1">
        <v>66545</v>
      </c>
    </row>
    <row r="73" spans="2:7" x14ac:dyDescent="0.25">
      <c r="B73" t="s">
        <v>29</v>
      </c>
      <c r="C73" t="s">
        <v>68</v>
      </c>
      <c r="D73">
        <f>8*60+7</f>
        <v>487</v>
      </c>
      <c r="E73" s="2">
        <f t="shared" si="1"/>
        <v>0.81736111111111109</v>
      </c>
      <c r="F73" s="2">
        <v>0.81736111111111109</v>
      </c>
      <c r="G73" s="1">
        <v>90196</v>
      </c>
    </row>
    <row r="74" spans="2:7" x14ac:dyDescent="0.25">
      <c r="B74" t="s">
        <v>30</v>
      </c>
      <c r="C74" t="s">
        <v>45</v>
      </c>
      <c r="E74" s="2"/>
      <c r="G74" s="1">
        <v>114371</v>
      </c>
    </row>
    <row r="75" spans="2:7" x14ac:dyDescent="0.25">
      <c r="B75" t="s">
        <v>31</v>
      </c>
      <c r="C75" t="s">
        <v>46</v>
      </c>
      <c r="E75" s="2"/>
      <c r="G75" s="1">
        <v>127131</v>
      </c>
    </row>
    <row r="76" spans="2:7" x14ac:dyDescent="0.25">
      <c r="B76" t="s">
        <v>32</v>
      </c>
      <c r="C76" t="s">
        <v>47</v>
      </c>
      <c r="E76" s="2"/>
      <c r="G76" s="1">
        <v>149057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8E52-5A37-4526-9FFB-7C4083362A52}">
  <dimension ref="B3:BH63"/>
  <sheetViews>
    <sheetView tabSelected="1" topLeftCell="J4" workbookViewId="0">
      <selection activeCell="V4" sqref="V4:Z4"/>
    </sheetView>
  </sheetViews>
  <sheetFormatPr defaultRowHeight="15" x14ac:dyDescent="0.25"/>
  <cols>
    <col min="2" max="2" width="23.42578125" customWidth="1"/>
    <col min="3" max="3" width="20.7109375" customWidth="1"/>
    <col min="4" max="4" width="18.85546875" customWidth="1"/>
    <col min="5" max="5" width="15.28515625" customWidth="1"/>
    <col min="7" max="7" width="14.28515625" customWidth="1"/>
    <col min="8" max="8" width="17.140625" customWidth="1"/>
    <col min="9" max="9" width="26" customWidth="1"/>
    <col min="10" max="10" width="22.42578125" customWidth="1"/>
    <col min="11" max="11" width="21.42578125" customWidth="1"/>
    <col min="14" max="14" width="13.42578125" customWidth="1"/>
    <col min="17" max="17" width="14.28515625" customWidth="1"/>
    <col min="18" max="18" width="12.42578125" customWidth="1"/>
    <col min="19" max="19" width="14.42578125" customWidth="1"/>
    <col min="20" max="21" width="18.42578125" customWidth="1"/>
    <col min="22" max="22" width="15" customWidth="1"/>
    <col min="23" max="24" width="14.28515625" customWidth="1"/>
    <col min="25" max="26" width="18.7109375" customWidth="1"/>
    <col min="27" max="27" width="16.140625" customWidth="1"/>
    <col min="28" max="28" width="15" customWidth="1"/>
    <col min="29" max="29" width="18.7109375" customWidth="1"/>
    <col min="30" max="31" width="21.7109375" customWidth="1"/>
    <col min="32" max="32" width="12" bestFit="1" customWidth="1"/>
    <col min="34" max="34" width="14.42578125" customWidth="1"/>
    <col min="35" max="36" width="19" customWidth="1"/>
    <col min="37" max="37" width="13.7109375" customWidth="1"/>
    <col min="38" max="38" width="12.42578125" customWidth="1"/>
    <col min="39" max="39" width="12.7109375" customWidth="1"/>
    <col min="40" max="41" width="18.28515625" customWidth="1"/>
    <col min="44" max="44" width="15.28515625" customWidth="1"/>
    <col min="45" max="46" width="18.7109375" customWidth="1"/>
    <col min="47" max="47" width="14.85546875" customWidth="1"/>
    <col min="49" max="49" width="14.28515625" customWidth="1"/>
    <col min="50" max="51" width="18.85546875" customWidth="1"/>
    <col min="54" max="54" width="13.42578125" customWidth="1"/>
    <col min="55" max="58" width="18.140625" customWidth="1"/>
    <col min="59" max="59" width="16.5703125" customWidth="1"/>
    <col min="60" max="60" width="19.5703125" customWidth="1"/>
  </cols>
  <sheetData>
    <row r="3" spans="2:60" x14ac:dyDescent="0.25">
      <c r="B3" s="9"/>
      <c r="C3" s="9"/>
      <c r="D3" s="9"/>
      <c r="E3" s="9"/>
      <c r="F3" s="8">
        <v>0.41666666666666669</v>
      </c>
      <c r="G3" s="8"/>
      <c r="H3" s="8"/>
      <c r="I3" s="8"/>
      <c r="J3" s="8"/>
      <c r="K3" s="8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2:60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13" t="s">
        <v>72</v>
      </c>
      <c r="M4" s="13"/>
      <c r="N4" s="13"/>
      <c r="O4" s="13"/>
      <c r="P4" s="13"/>
      <c r="Q4" s="13" t="s">
        <v>123</v>
      </c>
      <c r="R4" s="13"/>
      <c r="S4" s="13"/>
      <c r="T4" s="13"/>
      <c r="U4" s="13"/>
      <c r="V4" s="13" t="s">
        <v>80</v>
      </c>
      <c r="W4" s="13"/>
      <c r="X4" s="13"/>
      <c r="Y4" s="13"/>
      <c r="Z4" s="13"/>
      <c r="AA4" s="13" t="s">
        <v>81</v>
      </c>
      <c r="AB4" s="13"/>
      <c r="AC4" s="13"/>
      <c r="AD4" s="13"/>
      <c r="AE4" s="13"/>
      <c r="AF4" s="13" t="s">
        <v>82</v>
      </c>
      <c r="AG4" s="13"/>
      <c r="AH4" s="13"/>
      <c r="AI4" s="13"/>
      <c r="AJ4" s="9"/>
      <c r="AK4" s="13" t="s">
        <v>83</v>
      </c>
      <c r="AL4" s="13"/>
      <c r="AM4" s="13"/>
      <c r="AN4" s="13"/>
      <c r="AO4" s="13"/>
      <c r="AP4" s="13" t="s">
        <v>84</v>
      </c>
      <c r="AQ4" s="13"/>
      <c r="AR4" s="13"/>
      <c r="AS4" s="13"/>
      <c r="AT4" s="13"/>
      <c r="AU4" s="13" t="s">
        <v>85</v>
      </c>
      <c r="AV4" s="13"/>
      <c r="AW4" s="13"/>
      <c r="AX4" s="13"/>
      <c r="AY4" s="13"/>
      <c r="AZ4" s="13" t="s">
        <v>86</v>
      </c>
      <c r="BA4" s="13"/>
      <c r="BB4" s="13"/>
      <c r="BC4" s="13"/>
      <c r="BD4" s="13"/>
      <c r="BE4" s="9"/>
      <c r="BF4" s="9"/>
      <c r="BG4" s="13" t="s">
        <v>87</v>
      </c>
      <c r="BH4" s="13"/>
    </row>
    <row r="5" spans="2:60" x14ac:dyDescent="0.25">
      <c r="B5" s="9" t="s">
        <v>33</v>
      </c>
      <c r="C5" s="9" t="s">
        <v>39</v>
      </c>
      <c r="D5" s="9" t="s">
        <v>71</v>
      </c>
      <c r="E5" s="9" t="s">
        <v>70</v>
      </c>
      <c r="F5" s="9" t="s">
        <v>69</v>
      </c>
      <c r="G5" s="9" t="s">
        <v>73</v>
      </c>
      <c r="H5" s="9" t="s">
        <v>74</v>
      </c>
      <c r="I5" s="9" t="s">
        <v>75</v>
      </c>
      <c r="J5" s="9" t="s">
        <v>76</v>
      </c>
      <c r="K5" s="9" t="s">
        <v>77</v>
      </c>
      <c r="L5" s="9" t="s">
        <v>35</v>
      </c>
      <c r="M5" s="9" t="s">
        <v>38</v>
      </c>
      <c r="N5" s="9" t="s">
        <v>37</v>
      </c>
      <c r="O5" s="9" t="s">
        <v>36</v>
      </c>
      <c r="P5" s="9" t="s">
        <v>118</v>
      </c>
      <c r="Q5" s="9" t="s">
        <v>35</v>
      </c>
      <c r="R5" s="9" t="s">
        <v>38</v>
      </c>
      <c r="S5" s="9" t="s">
        <v>78</v>
      </c>
      <c r="T5" s="9" t="s">
        <v>79</v>
      </c>
      <c r="U5" s="9" t="s">
        <v>118</v>
      </c>
      <c r="V5" s="9" t="s">
        <v>35</v>
      </c>
      <c r="W5" s="9" t="s">
        <v>38</v>
      </c>
      <c r="X5" s="9" t="s">
        <v>78</v>
      </c>
      <c r="Y5" s="9" t="s">
        <v>79</v>
      </c>
      <c r="Z5" s="9" t="s">
        <v>118</v>
      </c>
      <c r="AA5" s="9" t="s">
        <v>35</v>
      </c>
      <c r="AB5" s="9" t="s">
        <v>38</v>
      </c>
      <c r="AC5" s="9" t="s">
        <v>78</v>
      </c>
      <c r="AD5" s="9" t="s">
        <v>79</v>
      </c>
      <c r="AE5" s="9" t="s">
        <v>118</v>
      </c>
      <c r="AF5" s="9" t="s">
        <v>35</v>
      </c>
      <c r="AG5" s="9" t="s">
        <v>38</v>
      </c>
      <c r="AH5" s="9" t="s">
        <v>78</v>
      </c>
      <c r="AI5" s="9" t="s">
        <v>79</v>
      </c>
      <c r="AJ5" s="9" t="s">
        <v>118</v>
      </c>
      <c r="AK5" s="9" t="s">
        <v>35</v>
      </c>
      <c r="AL5" s="9" t="s">
        <v>38</v>
      </c>
      <c r="AM5" s="9" t="s">
        <v>78</v>
      </c>
      <c r="AN5" s="9" t="s">
        <v>79</v>
      </c>
      <c r="AO5" s="9" t="s">
        <v>118</v>
      </c>
      <c r="AP5" s="9" t="s">
        <v>35</v>
      </c>
      <c r="AQ5" s="9" t="s">
        <v>38</v>
      </c>
      <c r="AR5" s="9" t="s">
        <v>78</v>
      </c>
      <c r="AS5" s="9" t="s">
        <v>79</v>
      </c>
      <c r="AT5" s="9" t="s">
        <v>118</v>
      </c>
      <c r="AU5" s="9" t="s">
        <v>35</v>
      </c>
      <c r="AV5" s="9" t="s">
        <v>38</v>
      </c>
      <c r="AW5" s="9" t="s">
        <v>78</v>
      </c>
      <c r="AX5" s="9" t="s">
        <v>79</v>
      </c>
      <c r="AY5" s="9" t="s">
        <v>118</v>
      </c>
      <c r="AZ5" s="9" t="s">
        <v>35</v>
      </c>
      <c r="BA5" s="9" t="s">
        <v>38</v>
      </c>
      <c r="BB5" s="9" t="s">
        <v>78</v>
      </c>
      <c r="BC5" s="9" t="s">
        <v>79</v>
      </c>
      <c r="BD5" s="9" t="s">
        <v>118</v>
      </c>
      <c r="BE5" s="9"/>
      <c r="BF5" s="9"/>
      <c r="BG5" t="s">
        <v>71</v>
      </c>
      <c r="BH5" s="9" t="s">
        <v>88</v>
      </c>
    </row>
    <row r="6" spans="2:60" s="4" customFormat="1" x14ac:dyDescent="0.25">
      <c r="B6" s="4" t="s">
        <v>89</v>
      </c>
      <c r="C6" s="5" t="s">
        <v>40</v>
      </c>
      <c r="D6" s="5"/>
      <c r="E6" s="5"/>
      <c r="F6" s="7">
        <v>0.39583333333333331</v>
      </c>
      <c r="G6" s="5">
        <v>9.9231999999999996</v>
      </c>
      <c r="H6" s="5">
        <v>18.9802</v>
      </c>
      <c r="I6" s="5">
        <v>14.507899999999999</v>
      </c>
      <c r="J6" s="5">
        <f>H6-I6</f>
        <v>4.4723000000000006</v>
      </c>
      <c r="K6" s="5">
        <f>I6-G6</f>
        <v>4.5846999999999998</v>
      </c>
      <c r="L6" s="1">
        <v>106559</v>
      </c>
      <c r="M6" s="1">
        <v>22217</v>
      </c>
      <c r="N6" s="1">
        <v>31639803</v>
      </c>
      <c r="O6" s="1">
        <v>616428</v>
      </c>
      <c r="P6" s="1">
        <v>1577453</v>
      </c>
      <c r="Q6" s="5">
        <f>(L6+41130)/9817.1</f>
        <v>15.044055780220228</v>
      </c>
      <c r="R6" s="5">
        <f>(M6-895.67)/4.4253</f>
        <v>4818.0530133550274</v>
      </c>
      <c r="S6" s="5">
        <f>(N6-135841)/69413</f>
        <v>453.86256176796854</v>
      </c>
      <c r="T6" s="5">
        <f t="shared" ref="T6:T37" si="0">(4*10^-9*O6)+0.0001</f>
        <v>2.5657119999999999E-3</v>
      </c>
      <c r="U6" s="5">
        <f>(P6+4076.7)/5248.6</f>
        <v>301.32410547574591</v>
      </c>
      <c r="V6" s="5">
        <f>Q6/1000*1.2381</f>
        <v>1.8626045461490662E-2</v>
      </c>
      <c r="W6" s="5">
        <f>R6/1000*1.64^-1</f>
        <v>2.9378372032652607</v>
      </c>
      <c r="X6" s="5">
        <f>S6/1000*1.8084</f>
        <v>0.82076505670119426</v>
      </c>
      <c r="Y6" s="5">
        <f>T6/1000*6.0383</f>
        <v>1.5492538769599999E-5</v>
      </c>
      <c r="Z6" s="5">
        <f>U6/1000*6.57*10^-1</f>
        <v>0.19796993729756507</v>
      </c>
      <c r="AA6" s="5">
        <f>(Q6/1000000)*0.0019*30.07*1000</f>
        <v>8.5951203889132234E-4</v>
      </c>
      <c r="AB6" s="5">
        <f>(R6/1000000)*0.00037*4*1000</f>
        <v>7.1307184597654404E-3</v>
      </c>
      <c r="AC6" s="5">
        <f>(S6/1000000)*0.0245*44.01*1000</f>
        <v>0.48937503791350329</v>
      </c>
      <c r="AD6" s="5">
        <f>(T6/1000000)*0.00024*146.06*1000</f>
        <v>8.9939494732800007E-8</v>
      </c>
      <c r="AE6" s="5">
        <f>(U6/1000000)*0.0015*16.04*1000</f>
        <v>7.2498579777464474E-3</v>
      </c>
      <c r="AF6" s="5">
        <f>(V6*J6/1000)+(AA6*K6/1000)</f>
        <v>8.7241867962129741E-5</v>
      </c>
      <c r="AG6" s="5">
        <f>(W6*J6/1000)+(AB6*K6/1000)</f>
        <v>1.3171581529085713E-2</v>
      </c>
      <c r="AH6" s="5">
        <f>(X6*J6/1000)+(AC6*K6/1000)</f>
        <v>5.9143452994067907E-3</v>
      </c>
      <c r="AI6" s="5">
        <f>(Y6*J6/1000)+(AD6*K6/1000)</f>
        <v>6.9699626740783558E-8</v>
      </c>
      <c r="AJ6" s="5">
        <f>(Z6*J6/1000)+(AE6*K6/1000)</f>
        <v>9.1861937444647455E-4</v>
      </c>
      <c r="AK6" s="5">
        <f>AF6/K6*1000</f>
        <v>1.9028915296994298E-2</v>
      </c>
      <c r="AL6" s="5">
        <f>AG6/K6*1000</f>
        <v>2.8729429469945065</v>
      </c>
      <c r="AM6" s="5">
        <f>AH6/K6*1000</f>
        <v>1.2900179508815826</v>
      </c>
      <c r="AN6" s="5">
        <f>AI6/K6*1000</f>
        <v>1.5202658132655042E-5</v>
      </c>
      <c r="AO6" s="5">
        <f>AJ6/K6*1000</f>
        <v>0.20036629974621559</v>
      </c>
      <c r="AP6" s="5"/>
      <c r="AQ6" s="5"/>
      <c r="AR6" s="5"/>
      <c r="AS6" s="5"/>
      <c r="AT6" s="5"/>
      <c r="BF6" s="5"/>
    </row>
    <row r="7" spans="2:60" s="4" customFormat="1" x14ac:dyDescent="0.25">
      <c r="B7" s="4" t="s">
        <v>90</v>
      </c>
      <c r="C7" s="5" t="s">
        <v>41</v>
      </c>
      <c r="D7" s="5"/>
      <c r="E7" s="5"/>
      <c r="F7" s="7">
        <v>0.39861111111111108</v>
      </c>
      <c r="G7" s="5">
        <v>9.9833999999999996</v>
      </c>
      <c r="H7" s="5">
        <v>18.944199999999999</v>
      </c>
      <c r="I7" s="5">
        <v>14.662699999999999</v>
      </c>
      <c r="J7" s="5">
        <f t="shared" ref="J7:J37" si="1">H7-I7</f>
        <v>4.2814999999999994</v>
      </c>
      <c r="K7" s="5">
        <f t="shared" ref="K7:K37" si="2">I7-G7</f>
        <v>4.6792999999999996</v>
      </c>
      <c r="L7" s="1">
        <v>154199</v>
      </c>
      <c r="M7" s="1">
        <v>31302</v>
      </c>
      <c r="N7" s="1">
        <v>41772871</v>
      </c>
      <c r="O7" s="1">
        <v>993800</v>
      </c>
      <c r="P7" s="1">
        <v>2288331</v>
      </c>
      <c r="Q7" s="5">
        <f t="shared" ref="Q7:Q37" si="3">(L7+41130)/9817.1</f>
        <v>19.896812704362794</v>
      </c>
      <c r="R7" s="5">
        <f t="shared" ref="R7:R37" si="4">(M7-895.67)/4.4253</f>
        <v>6871.021173705738</v>
      </c>
      <c r="S7" s="5">
        <f t="shared" ref="S7:S37" si="5">(N7-135841)/69413</f>
        <v>599.84484174434181</v>
      </c>
      <c r="T7" s="5">
        <f t="shared" si="0"/>
        <v>4.0752000000000002E-3</v>
      </c>
      <c r="U7" s="5">
        <f t="shared" ref="U7:U37" si="6">(P7+4076.7)/5248.6</f>
        <v>436.7655565293602</v>
      </c>
      <c r="V7" s="5">
        <f t="shared" ref="V7:V37" si="7">Q7/1000*1.2381</f>
        <v>2.4634243809271573E-2</v>
      </c>
      <c r="W7" s="5">
        <f t="shared" ref="W7:W37" si="8">R7/1000*1.64^-1</f>
        <v>4.1896470571376447</v>
      </c>
      <c r="X7" s="5">
        <f t="shared" ref="X7:X37" si="9">S7/1000*1.8084</f>
        <v>1.0847594118104678</v>
      </c>
      <c r="Y7" s="5">
        <f t="shared" ref="Y7:Y37" si="10">T7/1000*6.0383</f>
        <v>2.460728016E-5</v>
      </c>
      <c r="Z7" s="5">
        <f t="shared" ref="Z7:Z37" si="11">U7/1000*6.57*10^-1</f>
        <v>0.2869549706397897</v>
      </c>
      <c r="AA7" s="5">
        <f t="shared" ref="AA7:AA37" si="12">(Q7/1000000)*0.0019*30.07*1000</f>
        <v>1.1367646002383596E-3</v>
      </c>
      <c r="AB7" s="5">
        <f t="shared" ref="AB7:AB37" si="13">(R7/1000000)*0.00037*4*1000</f>
        <v>1.0169111337084492E-2</v>
      </c>
      <c r="AC7" s="5">
        <f t="shared" ref="AC7:AC37" si="14">(S7/1000000)*0.0245*44.01*1000</f>
        <v>0.64677970138662788</v>
      </c>
      <c r="AD7" s="5">
        <f t="shared" ref="AD7:AD37" si="15">(T7/1000000)*0.00024*146.06*1000</f>
        <v>1.4285369088000003E-7</v>
      </c>
      <c r="AE7" s="5">
        <f t="shared" ref="AE7:AE37" si="16">(U7/1000000)*0.0015*16.04*1000</f>
        <v>1.0508579290096406E-2</v>
      </c>
      <c r="AF7" s="5">
        <f t="shared" ref="AF7:AF37" si="17">(V7*J7/1000)+(AA7*K7/1000)</f>
        <v>1.1079077746329158E-4</v>
      </c>
      <c r="AG7" s="5">
        <f t="shared" ref="AG7:AG37" si="18">(W7*J7/1000)+(AB7*K7/1000)</f>
        <v>1.7985558197814441E-2</v>
      </c>
      <c r="AH7" s="5">
        <f t="shared" ref="AH7:AH37" si="19">(X7*J7/1000)+(AC7*K7/1000)</f>
        <v>7.6708736783649648E-3</v>
      </c>
      <c r="AI7" s="5">
        <f t="shared" ref="AI7:AI37" si="20">(Y7*J7/1000)+(AD7*K7/1000)</f>
        <v>1.0602452528077477E-7</v>
      </c>
      <c r="AJ7" s="5">
        <f t="shared" ref="AJ7:AJ37" si="21">(Z7*J7/1000)+(AE7*K7/1000)</f>
        <v>1.2777705018664077E-3</v>
      </c>
      <c r="AK7" s="5">
        <f t="shared" ref="AK7:AK37" si="22">AF7/K7*1000</f>
        <v>2.3676784447094992E-2</v>
      </c>
      <c r="AL7" s="5">
        <f t="shared" ref="AL7:AL37" si="23">AG7/K7*1000</f>
        <v>3.8436428948377839</v>
      </c>
      <c r="AM7" s="5">
        <f t="shared" ref="AM7:AM37" si="24">AH7/K7*1000</f>
        <v>1.6393207698512524</v>
      </c>
      <c r="AN7" s="5">
        <f t="shared" ref="AN7:AN37" si="25">AI7/K7*1000</f>
        <v>2.2658202141511502E-5</v>
      </c>
      <c r="AO7" s="5">
        <f t="shared" ref="AO7:AO37" si="26">AJ7/K7*1000</f>
        <v>0.27306872862744591</v>
      </c>
      <c r="AP7" s="5"/>
      <c r="AQ7" s="5"/>
      <c r="AR7" s="5"/>
      <c r="AS7" s="5"/>
      <c r="AT7" s="5"/>
      <c r="BF7" s="5"/>
    </row>
    <row r="8" spans="2:60" s="4" customFormat="1" x14ac:dyDescent="0.25">
      <c r="B8" s="4" t="s">
        <v>91</v>
      </c>
      <c r="C8" s="5" t="s">
        <v>42</v>
      </c>
      <c r="D8" s="5"/>
      <c r="E8" s="5"/>
      <c r="F8" s="7">
        <v>0.39930555555555558</v>
      </c>
      <c r="G8" s="5">
        <v>9.8872999999999998</v>
      </c>
      <c r="H8" s="5">
        <v>19.026199999999999</v>
      </c>
      <c r="I8" s="5">
        <v>15.111800000000001</v>
      </c>
      <c r="J8" s="5">
        <f t="shared" si="1"/>
        <v>3.9143999999999988</v>
      </c>
      <c r="K8" s="5">
        <f t="shared" si="2"/>
        <v>5.2245000000000008</v>
      </c>
      <c r="L8" s="1">
        <v>190700</v>
      </c>
      <c r="M8" s="1">
        <v>39423</v>
      </c>
      <c r="N8" s="1">
        <v>46253740</v>
      </c>
      <c r="O8" s="1">
        <v>1337110</v>
      </c>
      <c r="P8" s="1">
        <v>2813063</v>
      </c>
      <c r="Q8" s="5">
        <f t="shared" si="3"/>
        <v>23.614916828798727</v>
      </c>
      <c r="R8" s="5">
        <f t="shared" si="4"/>
        <v>8706.1509954127414</v>
      </c>
      <c r="S8" s="5">
        <f t="shared" si="5"/>
        <v>664.39858527941453</v>
      </c>
      <c r="T8" s="5">
        <f t="shared" si="0"/>
        <v>5.4484400000000006E-3</v>
      </c>
      <c r="U8" s="5">
        <f t="shared" si="6"/>
        <v>536.74116907365772</v>
      </c>
      <c r="V8" s="5">
        <f t="shared" si="7"/>
        <v>2.9237628525735703E-2</v>
      </c>
      <c r="W8" s="5">
        <f t="shared" si="8"/>
        <v>5.3086286557394766</v>
      </c>
      <c r="X8" s="5">
        <f t="shared" si="9"/>
        <v>1.2014984016192933</v>
      </c>
      <c r="Y8" s="5">
        <f t="shared" si="10"/>
        <v>3.2899315251999999E-5</v>
      </c>
      <c r="Z8" s="5">
        <f t="shared" si="11"/>
        <v>0.35263894808139318</v>
      </c>
      <c r="AA8" s="5">
        <f t="shared" si="12"/>
        <v>1.3491910431797577E-3</v>
      </c>
      <c r="AB8" s="5">
        <f t="shared" si="13"/>
        <v>1.2885103473210856E-2</v>
      </c>
      <c r="AC8" s="5">
        <f t="shared" si="14"/>
        <v>0.71638445258460226</v>
      </c>
      <c r="AD8" s="5">
        <f t="shared" si="15"/>
        <v>1.9099179513600002E-7</v>
      </c>
      <c r="AE8" s="5">
        <f t="shared" si="16"/>
        <v>1.2913992527912204E-2</v>
      </c>
      <c r="AF8" s="5">
        <f t="shared" si="17"/>
        <v>1.2149662170623244E-4</v>
      </c>
      <c r="AG8" s="5">
        <f t="shared" si="18"/>
        <v>2.0847414233122388E-2</v>
      </c>
      <c r="AH8" s="5">
        <f t="shared" si="19"/>
        <v>8.4458959158268156E-3</v>
      </c>
      <c r="AI8" s="5">
        <f t="shared" si="20"/>
        <v>1.297789162561168E-7</v>
      </c>
      <c r="AJ8" s="5">
        <f t="shared" si="21"/>
        <v>1.4478390523318823E-3</v>
      </c>
      <c r="AK8" s="5">
        <f t="shared" si="22"/>
        <v>2.3255167328209862E-2</v>
      </c>
      <c r="AL8" s="5">
        <f t="shared" si="23"/>
        <v>3.9903175869695442</v>
      </c>
      <c r="AM8" s="5">
        <f t="shared" si="24"/>
        <v>1.6165941077283594</v>
      </c>
      <c r="AN8" s="5">
        <f t="shared" si="25"/>
        <v>2.4840447173148966E-5</v>
      </c>
      <c r="AO8" s="5">
        <f t="shared" si="26"/>
        <v>0.27712490235082438</v>
      </c>
      <c r="AP8" s="5"/>
      <c r="AQ8" s="5"/>
      <c r="AR8" s="5"/>
      <c r="AS8" s="5"/>
      <c r="AT8" s="5"/>
      <c r="BF8" s="5"/>
    </row>
    <row r="9" spans="2:60" x14ac:dyDescent="0.25">
      <c r="B9" t="s">
        <v>92</v>
      </c>
      <c r="C9" s="9" t="s">
        <v>120</v>
      </c>
      <c r="D9" s="9"/>
      <c r="E9" s="9"/>
      <c r="F9" s="8">
        <v>0.40069444444444446</v>
      </c>
      <c r="G9" s="9">
        <v>9.8975000000000009</v>
      </c>
      <c r="H9" s="9">
        <v>18.721299999999999</v>
      </c>
      <c r="I9" s="9">
        <v>14.482799999999999</v>
      </c>
      <c r="J9" s="9">
        <f t="shared" si="1"/>
        <v>4.2385000000000002</v>
      </c>
      <c r="K9" s="9">
        <f t="shared" si="2"/>
        <v>4.5852999999999984</v>
      </c>
      <c r="L9" s="1" t="s">
        <v>1</v>
      </c>
      <c r="M9" s="1" t="s">
        <v>1</v>
      </c>
      <c r="N9" s="1" t="s">
        <v>1</v>
      </c>
      <c r="O9" s="1" t="s">
        <v>1</v>
      </c>
      <c r="P9" s="1">
        <v>6812</v>
      </c>
      <c r="Q9" s="9">
        <v>0</v>
      </c>
      <c r="R9" s="9">
        <v>0</v>
      </c>
      <c r="S9" s="9">
        <v>0</v>
      </c>
      <c r="T9" s="9">
        <v>0</v>
      </c>
      <c r="U9" s="9">
        <f t="shared" si="6"/>
        <v>2.0745913195899859</v>
      </c>
      <c r="V9" s="9">
        <f t="shared" si="7"/>
        <v>0</v>
      </c>
      <c r="W9" s="9">
        <f t="shared" si="8"/>
        <v>0</v>
      </c>
      <c r="X9" s="9">
        <f t="shared" si="9"/>
        <v>0</v>
      </c>
      <c r="Y9" s="9">
        <f t="shared" si="10"/>
        <v>0</v>
      </c>
      <c r="Z9" s="9">
        <f t="shared" si="11"/>
        <v>1.3630064969706208E-3</v>
      </c>
      <c r="AA9" s="9">
        <f t="shared" si="12"/>
        <v>0</v>
      </c>
      <c r="AB9" s="9">
        <f t="shared" si="13"/>
        <v>0</v>
      </c>
      <c r="AC9" s="9">
        <f t="shared" si="14"/>
        <v>0</v>
      </c>
      <c r="AD9" s="9">
        <f t="shared" si="15"/>
        <v>0</v>
      </c>
      <c r="AE9" s="9">
        <f t="shared" si="16"/>
        <v>4.9914667149335061E-5</v>
      </c>
      <c r="AF9" s="9">
        <f t="shared" si="17"/>
        <v>0</v>
      </c>
      <c r="AG9" s="9">
        <f t="shared" si="18"/>
        <v>0</v>
      </c>
      <c r="AH9" s="9">
        <f t="shared" si="19"/>
        <v>0</v>
      </c>
      <c r="AI9" s="9">
        <f t="shared" si="20"/>
        <v>0</v>
      </c>
      <c r="AJ9" s="9">
        <f t="shared" si="21"/>
        <v>6.0059767606898229E-6</v>
      </c>
      <c r="AK9" s="9">
        <f t="shared" si="22"/>
        <v>0</v>
      </c>
      <c r="AL9" s="9">
        <f t="shared" si="23"/>
        <v>0</v>
      </c>
      <c r="AM9" s="9">
        <f t="shared" si="24"/>
        <v>0</v>
      </c>
      <c r="AN9" s="9">
        <f t="shared" si="25"/>
        <v>0</v>
      </c>
      <c r="AO9" s="9">
        <f t="shared" si="26"/>
        <v>1.3098328922185735E-3</v>
      </c>
      <c r="AP9" s="9"/>
      <c r="AQ9" s="9"/>
      <c r="AR9" s="9"/>
      <c r="AS9" s="9"/>
      <c r="AT9" s="9"/>
      <c r="AU9">
        <f>AVERAGE(AK7:AK8)</f>
        <v>2.3465975887652427E-2</v>
      </c>
      <c r="AV9">
        <f t="shared" ref="AV9:AY9" si="27">AVERAGE(AL7:AL8)</f>
        <v>3.9169802409036638</v>
      </c>
      <c r="AW9">
        <f t="shared" si="27"/>
        <v>1.6279574387898059</v>
      </c>
      <c r="AX9">
        <f t="shared" si="27"/>
        <v>2.3749324657330234E-5</v>
      </c>
      <c r="AY9">
        <f t="shared" si="27"/>
        <v>0.27509681548913512</v>
      </c>
      <c r="BF9" s="9"/>
    </row>
    <row r="10" spans="2:60" x14ac:dyDescent="0.25">
      <c r="B10" t="s">
        <v>93</v>
      </c>
      <c r="C10" s="9" t="s">
        <v>121</v>
      </c>
      <c r="D10" s="9"/>
      <c r="E10" s="9"/>
      <c r="F10" s="8">
        <v>0.40138888888888885</v>
      </c>
      <c r="G10" s="9">
        <v>10.0274</v>
      </c>
      <c r="H10" s="9">
        <v>19.121600000000001</v>
      </c>
      <c r="I10" s="9">
        <v>15.4857</v>
      </c>
      <c r="J10" s="9">
        <f t="shared" si="1"/>
        <v>3.6359000000000012</v>
      </c>
      <c r="K10" s="9">
        <f t="shared" si="2"/>
        <v>5.4582999999999995</v>
      </c>
      <c r="L10" s="1" t="s">
        <v>1</v>
      </c>
      <c r="M10" s="1" t="s">
        <v>1</v>
      </c>
      <c r="N10" s="1" t="s">
        <v>1</v>
      </c>
      <c r="O10" s="1" t="s">
        <v>1</v>
      </c>
      <c r="P10" s="1">
        <v>7545</v>
      </c>
      <c r="Q10" s="9">
        <v>0</v>
      </c>
      <c r="R10" s="9">
        <v>0</v>
      </c>
      <c r="S10" s="9">
        <v>0</v>
      </c>
      <c r="T10" s="9">
        <v>0</v>
      </c>
      <c r="U10" s="9">
        <f t="shared" si="6"/>
        <v>2.2142476088861791</v>
      </c>
      <c r="V10" s="9">
        <f t="shared" si="7"/>
        <v>0</v>
      </c>
      <c r="W10" s="9">
        <f t="shared" si="8"/>
        <v>0</v>
      </c>
      <c r="X10" s="9">
        <f t="shared" si="9"/>
        <v>0</v>
      </c>
      <c r="Y10" s="9">
        <f t="shared" si="10"/>
        <v>0</v>
      </c>
      <c r="Z10" s="9">
        <f t="shared" si="11"/>
        <v>1.45476067903822E-3</v>
      </c>
      <c r="AA10" s="9">
        <f t="shared" si="12"/>
        <v>0</v>
      </c>
      <c r="AB10" s="9">
        <f t="shared" si="13"/>
        <v>0</v>
      </c>
      <c r="AC10" s="9">
        <f t="shared" si="14"/>
        <v>0</v>
      </c>
      <c r="AD10" s="9">
        <f t="shared" si="15"/>
        <v>0</v>
      </c>
      <c r="AE10" s="9">
        <f t="shared" si="16"/>
        <v>5.327479746980147E-5</v>
      </c>
      <c r="AF10" s="9">
        <f t="shared" si="17"/>
        <v>0</v>
      </c>
      <c r="AG10" s="9">
        <f t="shared" si="18"/>
        <v>0</v>
      </c>
      <c r="AH10" s="9">
        <f t="shared" si="19"/>
        <v>0</v>
      </c>
      <c r="AI10" s="9">
        <f t="shared" si="20"/>
        <v>0</v>
      </c>
      <c r="AJ10" s="9">
        <f t="shared" si="21"/>
        <v>5.5801541799444827E-6</v>
      </c>
      <c r="AK10" s="9">
        <f t="shared" si="22"/>
        <v>0</v>
      </c>
      <c r="AL10" s="9">
        <f t="shared" si="23"/>
        <v>0</v>
      </c>
      <c r="AM10" s="9">
        <f t="shared" si="24"/>
        <v>0</v>
      </c>
      <c r="AN10" s="9">
        <f t="shared" si="25"/>
        <v>0</v>
      </c>
      <c r="AO10" s="9">
        <f t="shared" si="26"/>
        <v>1.0223245662467223E-3</v>
      </c>
      <c r="AP10" s="9"/>
      <c r="AQ10" s="9"/>
      <c r="AR10" s="9"/>
      <c r="AS10" s="9"/>
      <c r="AT10" s="9"/>
      <c r="BF10" s="9"/>
    </row>
    <row r="11" spans="2:60" x14ac:dyDescent="0.25">
      <c r="B11" t="s">
        <v>94</v>
      </c>
      <c r="C11" s="9" t="s">
        <v>122</v>
      </c>
      <c r="D11" s="9"/>
      <c r="E11" s="9"/>
      <c r="F11" s="8">
        <v>0.40277777777777773</v>
      </c>
      <c r="G11" s="9">
        <v>9.9981000000000009</v>
      </c>
      <c r="H11" s="9">
        <v>18.8706</v>
      </c>
      <c r="I11" s="9">
        <v>14.4262</v>
      </c>
      <c r="J11" s="9">
        <f t="shared" si="1"/>
        <v>4.4443999999999999</v>
      </c>
      <c r="K11" s="9">
        <f t="shared" si="2"/>
        <v>4.4280999999999988</v>
      </c>
      <c r="L11" s="1" t="s">
        <v>1</v>
      </c>
      <c r="M11" s="1" t="s">
        <v>1</v>
      </c>
      <c r="N11" s="1" t="s">
        <v>1</v>
      </c>
      <c r="O11" s="1" t="s">
        <v>1</v>
      </c>
      <c r="P11" s="1">
        <v>5693</v>
      </c>
      <c r="Q11" s="9">
        <v>0</v>
      </c>
      <c r="R11" s="9">
        <v>0</v>
      </c>
      <c r="S11" s="9">
        <v>0</v>
      </c>
      <c r="T11" s="9">
        <v>0</v>
      </c>
      <c r="U11" s="9">
        <f t="shared" si="6"/>
        <v>1.8613916091910223</v>
      </c>
      <c r="V11" s="9">
        <f t="shared" si="7"/>
        <v>0</v>
      </c>
      <c r="W11" s="9">
        <f t="shared" si="8"/>
        <v>0</v>
      </c>
      <c r="X11" s="9">
        <f t="shared" si="9"/>
        <v>0</v>
      </c>
      <c r="Y11" s="9">
        <f t="shared" si="10"/>
        <v>0</v>
      </c>
      <c r="Z11" s="9">
        <f t="shared" si="11"/>
        <v>1.2229342872385018E-3</v>
      </c>
      <c r="AA11" s="9">
        <f t="shared" si="12"/>
        <v>0</v>
      </c>
      <c r="AB11" s="9">
        <f t="shared" si="13"/>
        <v>0</v>
      </c>
      <c r="AC11" s="9">
        <f t="shared" si="14"/>
        <v>0</v>
      </c>
      <c r="AD11" s="9">
        <f t="shared" si="15"/>
        <v>0</v>
      </c>
      <c r="AE11" s="9">
        <f t="shared" si="16"/>
        <v>4.4785082117135993E-5</v>
      </c>
      <c r="AF11" s="9">
        <f t="shared" si="17"/>
        <v>0</v>
      </c>
      <c r="AG11" s="9">
        <f t="shared" si="18"/>
        <v>0</v>
      </c>
      <c r="AH11" s="9">
        <f t="shared" si="19"/>
        <v>0</v>
      </c>
      <c r="AI11" s="9">
        <f t="shared" si="20"/>
        <v>0</v>
      </c>
      <c r="AJ11" s="9">
        <f t="shared" si="21"/>
        <v>5.6335219683256871E-6</v>
      </c>
      <c r="AK11" s="9">
        <f t="shared" si="22"/>
        <v>0</v>
      </c>
      <c r="AL11" s="9">
        <f t="shared" si="23"/>
        <v>0</v>
      </c>
      <c r="AM11" s="9">
        <f t="shared" si="24"/>
        <v>0</v>
      </c>
      <c r="AN11" s="9">
        <f t="shared" si="25"/>
        <v>0</v>
      </c>
      <c r="AO11" s="9">
        <f t="shared" si="26"/>
        <v>1.272221035732185E-3</v>
      </c>
      <c r="AP11" s="9"/>
      <c r="AQ11" s="9"/>
      <c r="AR11" s="9"/>
      <c r="AS11" s="9"/>
      <c r="AT11" s="9"/>
      <c r="BF11" s="9"/>
    </row>
    <row r="12" spans="2:60" x14ac:dyDescent="0.25">
      <c r="B12" t="s">
        <v>95</v>
      </c>
      <c r="C12" s="9" t="s">
        <v>117</v>
      </c>
      <c r="D12" s="10">
        <f>E12*1440</f>
        <v>1.9999999999999929</v>
      </c>
      <c r="E12" s="8">
        <f>F12-$F$3</f>
        <v>1.388888888888884E-3</v>
      </c>
      <c r="F12" s="8">
        <v>0.41805555555555557</v>
      </c>
      <c r="G12" s="9">
        <v>9.9155999999999995</v>
      </c>
      <c r="H12" s="9">
        <v>18.942299999999999</v>
      </c>
      <c r="I12" s="9">
        <v>14.6601</v>
      </c>
      <c r="J12" s="9">
        <f t="shared" si="1"/>
        <v>4.2821999999999996</v>
      </c>
      <c r="K12" s="9">
        <f t="shared" si="2"/>
        <v>4.7445000000000004</v>
      </c>
      <c r="L12" s="1" t="s">
        <v>1</v>
      </c>
      <c r="M12" s="1" t="s">
        <v>1</v>
      </c>
      <c r="N12" s="1" t="s">
        <v>1</v>
      </c>
      <c r="O12" s="1" t="s">
        <v>1</v>
      </c>
      <c r="P12" s="1">
        <v>6951</v>
      </c>
      <c r="Q12" s="9">
        <v>0</v>
      </c>
      <c r="R12" s="9">
        <v>0</v>
      </c>
      <c r="S12" s="9">
        <v>0</v>
      </c>
      <c r="T12" s="9">
        <v>0</v>
      </c>
      <c r="U12" s="9">
        <f t="shared" si="6"/>
        <v>2.1010745722668904</v>
      </c>
      <c r="V12" s="9">
        <f t="shared" si="7"/>
        <v>0</v>
      </c>
      <c r="W12" s="9">
        <f t="shared" si="8"/>
        <v>0</v>
      </c>
      <c r="X12" s="9">
        <f t="shared" si="9"/>
        <v>0</v>
      </c>
      <c r="Y12" s="9">
        <f t="shared" si="10"/>
        <v>0</v>
      </c>
      <c r="Z12" s="9">
        <f t="shared" si="11"/>
        <v>1.3804059939793473E-3</v>
      </c>
      <c r="AA12" s="9">
        <f t="shared" si="12"/>
        <v>0</v>
      </c>
      <c r="AB12" s="9">
        <f t="shared" si="13"/>
        <v>0</v>
      </c>
      <c r="AC12" s="9">
        <f t="shared" si="14"/>
        <v>0</v>
      </c>
      <c r="AD12" s="9">
        <f t="shared" si="15"/>
        <v>0</v>
      </c>
      <c r="AE12" s="9">
        <f t="shared" si="16"/>
        <v>5.0551854208741384E-5</v>
      </c>
      <c r="AF12" s="9">
        <f t="shared" si="17"/>
        <v>0</v>
      </c>
      <c r="AG12" s="9">
        <f t="shared" si="18"/>
        <v>0</v>
      </c>
      <c r="AH12" s="9">
        <f t="shared" si="19"/>
        <v>0</v>
      </c>
      <c r="AI12" s="9">
        <f t="shared" si="20"/>
        <v>0</v>
      </c>
      <c r="AJ12" s="9">
        <f t="shared" si="21"/>
        <v>6.1510178197117343E-6</v>
      </c>
      <c r="AK12" s="9">
        <f t="shared" si="22"/>
        <v>0</v>
      </c>
      <c r="AL12" s="9">
        <f t="shared" si="23"/>
        <v>0</v>
      </c>
      <c r="AM12" s="9">
        <f t="shared" si="24"/>
        <v>0</v>
      </c>
      <c r="AN12" s="9">
        <f t="shared" si="25"/>
        <v>0</v>
      </c>
      <c r="AO12" s="9">
        <f t="shared" si="26"/>
        <v>1.2964522752053397E-3</v>
      </c>
      <c r="AP12" s="9">
        <f t="shared" ref="AP12:AP13" si="28">AK12-(AVERAGE($AK$9:$AK$11))</f>
        <v>0</v>
      </c>
      <c r="AQ12" s="9">
        <f t="shared" ref="AQ12:AQ37" si="29">IF(AL12-(AVERAGE($AL$9:$AL$11))&lt;0,0,AL12-(AVERAGE($AL$9:$AL$11)))</f>
        <v>0</v>
      </c>
      <c r="AR12" s="9">
        <f t="shared" ref="AR12:AR13" si="30">IF(AM12-(AVERAGE($AM$9:$AM$11))&lt;0,0,AM12-(AVERAGE($AM$9:$AM$11)))</f>
        <v>0</v>
      </c>
      <c r="AS12" s="9">
        <f t="shared" ref="AS12:AS37" si="31">IF(AN12-(AVERAGE($AN$9:$AN$11))&lt;0,0,AN12-(AVERAGE($AN$9:$AN$11)))</f>
        <v>0</v>
      </c>
      <c r="AT12" s="9">
        <f>IF(AO12-(AVERAGE($AO$9:$AO$11))&lt;0,0,AO12-(AVERAGE($AO$9:$AO$11)))</f>
        <v>9.4992777139512805E-5</v>
      </c>
      <c r="AU12">
        <f>$AU$9+(($AU$19-$AU$9)/($D$19))*D12</f>
        <v>2.3456897922598419E-2</v>
      </c>
      <c r="AV12">
        <f>$AV$9+(($AV$19-$AV$9)/($D$19))*D12</f>
        <v>3.9112989883320464</v>
      </c>
      <c r="AW12">
        <f>$AW$9+(($AW$19-$AW$9)/($D$19))*D12</f>
        <v>1.6281372047348459</v>
      </c>
      <c r="AX12">
        <f>$AX$9+(($AX$19-$AX$9)/($D$19))*D12</f>
        <v>2.3778376060479372E-5</v>
      </c>
      <c r="AY12">
        <f>$AY$9+(($AY$19-$AY$9)/($D$19))*D12</f>
        <v>0.27516834753919595</v>
      </c>
      <c r="AZ12">
        <f t="shared" ref="AZ12:AZ15" si="32">AP12/AU12</f>
        <v>0</v>
      </c>
      <c r="BA12">
        <f t="shared" ref="BA12:BA16" si="33">AQ12/AV12</f>
        <v>0</v>
      </c>
      <c r="BB12">
        <f t="shared" ref="BB12:BB37" si="34">AR12/AW12</f>
        <v>0</v>
      </c>
      <c r="BC12">
        <f t="shared" ref="BC12" si="35">AS12/AX12</f>
        <v>0</v>
      </c>
      <c r="BD12">
        <f t="shared" ref="BD12:BD37" si="36">AT12/AY12</f>
        <v>3.4521694805752211E-4</v>
      </c>
      <c r="BG12">
        <v>0</v>
      </c>
      <c r="BH12">
        <v>0</v>
      </c>
    </row>
    <row r="13" spans="2:60" x14ac:dyDescent="0.25">
      <c r="B13" t="s">
        <v>96</v>
      </c>
      <c r="C13" s="9" t="s">
        <v>117</v>
      </c>
      <c r="D13" s="10">
        <f t="shared" ref="D13:D37" si="37">E13*1440</f>
        <v>20.999999999999925</v>
      </c>
      <c r="E13" s="8">
        <f t="shared" ref="E13:E16" si="38">F13-$F$3</f>
        <v>1.4583333333333282E-2</v>
      </c>
      <c r="F13" s="8">
        <v>0.43124999999999997</v>
      </c>
      <c r="G13" s="9">
        <v>9.9190000000000005</v>
      </c>
      <c r="H13" s="9">
        <v>18.756399999999999</v>
      </c>
      <c r="I13" s="9">
        <v>14.814500000000001</v>
      </c>
      <c r="J13" s="9">
        <f t="shared" si="1"/>
        <v>3.9418999999999986</v>
      </c>
      <c r="K13" s="9">
        <f t="shared" si="2"/>
        <v>4.8955000000000002</v>
      </c>
      <c r="L13" s="1" t="s">
        <v>1</v>
      </c>
      <c r="M13" s="1" t="s">
        <v>1</v>
      </c>
      <c r="N13" s="1">
        <v>77615</v>
      </c>
      <c r="O13" s="1" t="s">
        <v>1</v>
      </c>
      <c r="P13" s="1">
        <v>7367</v>
      </c>
      <c r="Q13" s="9">
        <v>0</v>
      </c>
      <c r="R13" s="9">
        <v>0</v>
      </c>
      <c r="S13" s="9">
        <v>0</v>
      </c>
      <c r="T13" s="9">
        <v>0</v>
      </c>
      <c r="U13" s="9">
        <f t="shared" si="6"/>
        <v>2.1803338032999275</v>
      </c>
      <c r="V13" s="9">
        <f t="shared" si="7"/>
        <v>0</v>
      </c>
      <c r="W13" s="9">
        <f t="shared" si="8"/>
        <v>0</v>
      </c>
      <c r="X13" s="9">
        <f t="shared" si="9"/>
        <v>0</v>
      </c>
      <c r="Y13" s="9">
        <f t="shared" si="10"/>
        <v>0</v>
      </c>
      <c r="Z13" s="9">
        <f t="shared" si="11"/>
        <v>1.4324793087680523E-3</v>
      </c>
      <c r="AA13" s="9">
        <f t="shared" si="12"/>
        <v>0</v>
      </c>
      <c r="AB13" s="9">
        <f t="shared" si="13"/>
        <v>0</v>
      </c>
      <c r="AC13" s="9">
        <f t="shared" si="14"/>
        <v>0</v>
      </c>
      <c r="AD13" s="9">
        <f t="shared" si="15"/>
        <v>0</v>
      </c>
      <c r="AE13" s="9">
        <f t="shared" si="16"/>
        <v>5.2458831307396251E-5</v>
      </c>
      <c r="AF13" s="9">
        <f t="shared" si="17"/>
        <v>0</v>
      </c>
      <c r="AG13" s="9">
        <f t="shared" si="18"/>
        <v>0</v>
      </c>
      <c r="AH13" s="9">
        <f t="shared" si="19"/>
        <v>0</v>
      </c>
      <c r="AI13" s="9">
        <f t="shared" si="20"/>
        <v>0</v>
      </c>
      <c r="AJ13" s="9">
        <f t="shared" si="21"/>
        <v>5.903502395898141E-6</v>
      </c>
      <c r="AK13" s="9">
        <f t="shared" si="22"/>
        <v>0</v>
      </c>
      <c r="AL13" s="9">
        <f t="shared" si="23"/>
        <v>0</v>
      </c>
      <c r="AM13" s="9">
        <f t="shared" si="24"/>
        <v>0</v>
      </c>
      <c r="AN13" s="9">
        <f t="shared" si="25"/>
        <v>0</v>
      </c>
      <c r="AO13" s="9">
        <f t="shared" si="26"/>
        <v>1.205903870063965E-3</v>
      </c>
      <c r="AP13" s="9">
        <f t="shared" si="28"/>
        <v>0</v>
      </c>
      <c r="AQ13" s="9">
        <f t="shared" si="29"/>
        <v>0</v>
      </c>
      <c r="AR13" s="9">
        <f t="shared" si="30"/>
        <v>0</v>
      </c>
      <c r="AS13" s="9">
        <f t="shared" si="31"/>
        <v>0</v>
      </c>
      <c r="AT13" s="9">
        <f t="shared" ref="AT13:AT19" si="39">IF(AO13-(AVERAGE($AO$9:$AO$11))&lt;0,0,AO13-(AVERAGE($AO$9:$AO$11)))</f>
        <v>4.4443719981381719E-6</v>
      </c>
      <c r="AU13">
        <f t="shared" ref="AU13:AU18" si="40">$AU$9+(($AU$19-$AU$9)/($D$19))*D13</f>
        <v>2.3370657254585338E-2</v>
      </c>
      <c r="AV13">
        <f t="shared" ref="AV13:AV18" si="41">$AV$9+(($AV$19-$AV$9)/($D$19))*D13</f>
        <v>3.8573270889016786</v>
      </c>
      <c r="AW13">
        <f t="shared" ref="AW13:AW18" si="42">$AW$9+(($AW$19-$AW$9)/($D$19))*D13</f>
        <v>1.629844981212726</v>
      </c>
      <c r="AX13">
        <f t="shared" ref="AX13:AX18" si="43">$AX$9+(($AX$19-$AX$9)/($D$19))*D13</f>
        <v>2.405436439039618E-5</v>
      </c>
      <c r="AY13">
        <f t="shared" ref="AY13:AY18" si="44">$AY$9+(($AY$19-$AY$9)/($D$19))*D13</f>
        <v>0.27584790201477399</v>
      </c>
      <c r="AZ13">
        <f t="shared" si="32"/>
        <v>0</v>
      </c>
      <c r="BA13">
        <f t="shared" si="33"/>
        <v>0</v>
      </c>
      <c r="BB13">
        <f t="shared" si="34"/>
        <v>0</v>
      </c>
      <c r="BC13">
        <f t="shared" ref="BC13:BC28" si="45">AS13/AX13</f>
        <v>0</v>
      </c>
      <c r="BD13">
        <f t="shared" si="36"/>
        <v>1.6111675911532357E-5</v>
      </c>
      <c r="BF13" s="9"/>
      <c r="BG13">
        <v>0</v>
      </c>
      <c r="BH13">
        <v>0</v>
      </c>
    </row>
    <row r="14" spans="2:60" x14ac:dyDescent="0.25">
      <c r="B14" t="s">
        <v>97</v>
      </c>
      <c r="C14" s="9" t="s">
        <v>117</v>
      </c>
      <c r="D14" s="10">
        <f t="shared" si="37"/>
        <v>41.000000000000014</v>
      </c>
      <c r="E14" s="8">
        <f t="shared" si="38"/>
        <v>2.8472222222222232E-2</v>
      </c>
      <c r="F14" s="8">
        <v>0.44513888888888892</v>
      </c>
      <c r="G14" s="9">
        <v>9.9131999999999998</v>
      </c>
      <c r="H14" s="9">
        <v>18.750900000000001</v>
      </c>
      <c r="I14" s="9">
        <v>14.5914</v>
      </c>
      <c r="J14" s="9">
        <f t="shared" si="1"/>
        <v>4.1595000000000013</v>
      </c>
      <c r="K14" s="9">
        <f t="shared" si="2"/>
        <v>4.6782000000000004</v>
      </c>
      <c r="L14" s="1" t="s">
        <v>1</v>
      </c>
      <c r="M14" s="1" t="s">
        <v>1</v>
      </c>
      <c r="N14" s="1" t="s">
        <v>1</v>
      </c>
      <c r="O14" s="1" t="s">
        <v>1</v>
      </c>
      <c r="P14" s="1">
        <v>5678</v>
      </c>
      <c r="Q14" s="9">
        <v>0</v>
      </c>
      <c r="R14" s="9">
        <v>0</v>
      </c>
      <c r="S14" s="9">
        <v>0</v>
      </c>
      <c r="T14" s="9">
        <v>0</v>
      </c>
      <c r="U14" s="9">
        <f t="shared" si="6"/>
        <v>1.8585337042258889</v>
      </c>
      <c r="V14" s="9">
        <f t="shared" si="7"/>
        <v>0</v>
      </c>
      <c r="W14" s="9">
        <f t="shared" si="8"/>
        <v>0</v>
      </c>
      <c r="X14" s="9">
        <f t="shared" si="9"/>
        <v>0</v>
      </c>
      <c r="Y14" s="9">
        <f t="shared" si="10"/>
        <v>0</v>
      </c>
      <c r="Z14" s="9">
        <f t="shared" si="11"/>
        <v>1.2210566436764091E-3</v>
      </c>
      <c r="AA14" s="9">
        <f t="shared" si="12"/>
        <v>0</v>
      </c>
      <c r="AB14" s="9">
        <f t="shared" si="13"/>
        <v>0</v>
      </c>
      <c r="AC14" s="9">
        <f t="shared" si="14"/>
        <v>0</v>
      </c>
      <c r="AD14" s="9">
        <f t="shared" si="15"/>
        <v>0</v>
      </c>
      <c r="AE14" s="9">
        <f t="shared" si="16"/>
        <v>4.4716320923674886E-5</v>
      </c>
      <c r="AF14" s="9">
        <f t="shared" si="17"/>
        <v>0</v>
      </c>
      <c r="AG14" s="9">
        <f t="shared" si="18"/>
        <v>0</v>
      </c>
      <c r="AH14" s="9">
        <f t="shared" si="19"/>
        <v>0</v>
      </c>
      <c r="AI14" s="9">
        <f t="shared" si="20"/>
        <v>0</v>
      </c>
      <c r="AJ14" s="9">
        <f t="shared" si="21"/>
        <v>5.2881770019171609E-6</v>
      </c>
      <c r="AK14" s="9">
        <f t="shared" si="22"/>
        <v>0</v>
      </c>
      <c r="AL14" s="9">
        <f t="shared" si="23"/>
        <v>0</v>
      </c>
      <c r="AM14" s="9">
        <f t="shared" si="24"/>
        <v>0</v>
      </c>
      <c r="AN14" s="9">
        <f t="shared" si="25"/>
        <v>0</v>
      </c>
      <c r="AO14" s="9">
        <f t="shared" si="26"/>
        <v>1.1303871151120432E-3</v>
      </c>
      <c r="AP14" s="9">
        <f>AK14-(AVERAGE($AK$9:$AK$11))</f>
        <v>0</v>
      </c>
      <c r="AQ14" s="9">
        <f>IF(AL14-(AVERAGE($AL$9:$AL$11))&lt;0,0,AL14-(AVERAGE($AL$9:$AL$11)))</f>
        <v>0</v>
      </c>
      <c r="AR14" s="9">
        <f>IF(AM14-(AVERAGE($AM$9:$AM$11))&lt;0,0,AM14-(AVERAGE($AM$9:$AM$11)))</f>
        <v>0</v>
      </c>
      <c r="AS14" s="9">
        <f>IF(AN14-(AVERAGE($AN$9:$AN$11))&lt;0,0,AN14-(AVERAGE($AN$9:$AN$11)))</f>
        <v>0</v>
      </c>
      <c r="AT14" s="9">
        <f t="shared" si="39"/>
        <v>0</v>
      </c>
      <c r="AU14">
        <f t="shared" si="40"/>
        <v>2.3279877604045256E-2</v>
      </c>
      <c r="AV14">
        <f t="shared" si="41"/>
        <v>3.8005145631855015</v>
      </c>
      <c r="AW14">
        <f t="shared" si="42"/>
        <v>1.6316426406631259</v>
      </c>
      <c r="AX14">
        <f t="shared" si="43"/>
        <v>2.4344878421887559E-5</v>
      </c>
      <c r="AY14">
        <f t="shared" si="44"/>
        <v>0.27656322251538246</v>
      </c>
      <c r="AZ14">
        <f t="shared" si="32"/>
        <v>0</v>
      </c>
      <c r="BA14">
        <f t="shared" si="33"/>
        <v>0</v>
      </c>
      <c r="BB14">
        <f t="shared" si="34"/>
        <v>0</v>
      </c>
      <c r="BC14">
        <f t="shared" si="45"/>
        <v>0</v>
      </c>
      <c r="BD14">
        <f t="shared" si="36"/>
        <v>0</v>
      </c>
      <c r="BG14">
        <v>0</v>
      </c>
      <c r="BH14">
        <v>0</v>
      </c>
    </row>
    <row r="15" spans="2:60" x14ac:dyDescent="0.25">
      <c r="B15" t="s">
        <v>98</v>
      </c>
      <c r="C15" s="9" t="s">
        <v>117</v>
      </c>
      <c r="D15" s="10">
        <f t="shared" si="37"/>
        <v>59.999999999999943</v>
      </c>
      <c r="E15" s="8">
        <f t="shared" si="38"/>
        <v>4.166666666666663E-2</v>
      </c>
      <c r="F15" s="8">
        <v>0.45833333333333331</v>
      </c>
      <c r="G15" s="9">
        <v>9.9902999999999995</v>
      </c>
      <c r="H15" s="9">
        <v>18.792100000000001</v>
      </c>
      <c r="I15" s="9">
        <v>14.742900000000001</v>
      </c>
      <c r="J15" s="9">
        <f t="shared" si="1"/>
        <v>4.0492000000000008</v>
      </c>
      <c r="K15" s="9">
        <f t="shared" si="2"/>
        <v>4.752600000000001</v>
      </c>
      <c r="L15" s="1">
        <v>4139</v>
      </c>
      <c r="M15" s="1" t="s">
        <v>1</v>
      </c>
      <c r="N15" s="1">
        <v>3895496</v>
      </c>
      <c r="O15" s="1" t="s">
        <v>1</v>
      </c>
      <c r="P15" s="1">
        <v>117715</v>
      </c>
      <c r="Q15" s="9">
        <f t="shared" si="3"/>
        <v>4.61123957176763</v>
      </c>
      <c r="R15" s="9">
        <v>0</v>
      </c>
      <c r="S15" s="9">
        <f t="shared" si="5"/>
        <v>54.163557258726755</v>
      </c>
      <c r="T15" s="9">
        <v>0</v>
      </c>
      <c r="U15" s="9">
        <f t="shared" si="6"/>
        <v>23.204606942803792</v>
      </c>
      <c r="V15" s="9">
        <f t="shared" si="7"/>
        <v>5.7091757138055029E-3</v>
      </c>
      <c r="W15" s="9">
        <f t="shared" si="8"/>
        <v>0</v>
      </c>
      <c r="X15" s="9">
        <f t="shared" si="9"/>
        <v>9.794937694668146E-2</v>
      </c>
      <c r="Y15" s="9">
        <f t="shared" si="10"/>
        <v>0</v>
      </c>
      <c r="Z15" s="9">
        <f t="shared" si="11"/>
        <v>1.5245426761422093E-2</v>
      </c>
      <c r="AA15" s="9">
        <f t="shared" si="12"/>
        <v>2.634539504538E-4</v>
      </c>
      <c r="AB15" s="9">
        <f t="shared" si="13"/>
        <v>0</v>
      </c>
      <c r="AC15" s="9">
        <f t="shared" si="14"/>
        <v>5.8401584796435833E-2</v>
      </c>
      <c r="AD15" s="9">
        <f t="shared" si="15"/>
        <v>0</v>
      </c>
      <c r="AE15" s="9">
        <f t="shared" si="16"/>
        <v>5.5830284304385922E-4</v>
      </c>
      <c r="AF15" s="9">
        <f t="shared" si="17"/>
        <v>2.4369685545267977E-5</v>
      </c>
      <c r="AG15" s="9">
        <f t="shared" si="18"/>
        <v>0</v>
      </c>
      <c r="AH15" s="9">
        <f t="shared" si="19"/>
        <v>6.7417598903604366E-4</v>
      </c>
      <c r="AI15" s="9">
        <f t="shared" si="20"/>
        <v>0</v>
      </c>
      <c r="AJ15" s="9">
        <f t="shared" si="21"/>
        <v>6.4385172134200598E-5</v>
      </c>
      <c r="AK15" s="9">
        <f t="shared" si="22"/>
        <v>5.1276533992484054E-3</v>
      </c>
      <c r="AL15" s="9">
        <f t="shared" si="23"/>
        <v>0</v>
      </c>
      <c r="AM15" s="9">
        <f t="shared" si="24"/>
        <v>0.14185414068847443</v>
      </c>
      <c r="AN15" s="9">
        <f t="shared" si="25"/>
        <v>0</v>
      </c>
      <c r="AO15" s="9">
        <f t="shared" si="26"/>
        <v>1.3547357685098805E-2</v>
      </c>
      <c r="AP15" s="9">
        <f t="shared" ref="AP15:AP37" si="46">AK15-(AVERAGE($AK$11:$AK$13))</f>
        <v>5.1276533992484054E-3</v>
      </c>
      <c r="AQ15" s="9">
        <f t="shared" si="29"/>
        <v>0</v>
      </c>
      <c r="AR15" s="9">
        <f t="shared" ref="AR15:AR37" si="47">IF(AM15-(AVERAGE($AM$9:$AM$11))&lt;0,0,AM15-(AVERAGE($AM$9:$AM$11)))</f>
        <v>0.14185414068847443</v>
      </c>
      <c r="AS15" s="9">
        <f t="shared" si="31"/>
        <v>0</v>
      </c>
      <c r="AT15" s="9">
        <f t="shared" si="39"/>
        <v>1.2345898187032979E-2</v>
      </c>
      <c r="AU15">
        <f t="shared" si="40"/>
        <v>2.3193636936032175E-2</v>
      </c>
      <c r="AV15">
        <f t="shared" si="41"/>
        <v>3.7465426637551342</v>
      </c>
      <c r="AW15">
        <f t="shared" si="42"/>
        <v>1.633350417141006</v>
      </c>
      <c r="AX15">
        <f t="shared" si="43"/>
        <v>2.4620866751804367E-5</v>
      </c>
      <c r="AY15">
        <f t="shared" si="44"/>
        <v>0.27724277699096045</v>
      </c>
      <c r="AZ15">
        <f t="shared" si="32"/>
        <v>0.22108017873136601</v>
      </c>
      <c r="BA15">
        <f t="shared" si="33"/>
        <v>0</v>
      </c>
      <c r="BB15">
        <f t="shared" si="34"/>
        <v>8.6848565500582509E-2</v>
      </c>
      <c r="BC15">
        <f t="shared" si="45"/>
        <v>0</v>
      </c>
      <c r="BD15">
        <f t="shared" si="36"/>
        <v>4.4531000306044108E-2</v>
      </c>
      <c r="BF15" s="9"/>
      <c r="BG15" s="10">
        <v>1.9999999999999929</v>
      </c>
      <c r="BH15">
        <v>0</v>
      </c>
    </row>
    <row r="16" spans="2:60" x14ac:dyDescent="0.25">
      <c r="B16" t="s">
        <v>99</v>
      </c>
      <c r="C16" s="9" t="s">
        <v>117</v>
      </c>
      <c r="D16" s="10">
        <f t="shared" si="37"/>
        <v>80.000000000000028</v>
      </c>
      <c r="E16" s="8">
        <f t="shared" si="38"/>
        <v>5.555555555555558E-2</v>
      </c>
      <c r="F16" s="8">
        <v>0.47222222222222227</v>
      </c>
      <c r="G16" s="9">
        <v>9.9453999999999994</v>
      </c>
      <c r="H16" s="9">
        <v>18.979399999999998</v>
      </c>
      <c r="I16" s="9">
        <v>14.5724</v>
      </c>
      <c r="J16" s="9">
        <f t="shared" si="1"/>
        <v>4.4069999999999983</v>
      </c>
      <c r="K16" s="9">
        <f t="shared" si="2"/>
        <v>4.6270000000000007</v>
      </c>
      <c r="L16" s="1">
        <v>74746</v>
      </c>
      <c r="M16" s="1">
        <v>10978</v>
      </c>
      <c r="N16" s="1">
        <v>34260310</v>
      </c>
      <c r="O16" s="1">
        <v>648217</v>
      </c>
      <c r="P16" s="1">
        <v>1368731</v>
      </c>
      <c r="Q16" s="9">
        <f t="shared" si="3"/>
        <v>11.80348575444887</v>
      </c>
      <c r="R16" s="9">
        <f t="shared" si="4"/>
        <v>2278.3381917610104</v>
      </c>
      <c r="S16" s="9">
        <f t="shared" si="5"/>
        <v>491.6149568524628</v>
      </c>
      <c r="T16" s="9">
        <f t="shared" si="0"/>
        <v>2.6928680000000002E-3</v>
      </c>
      <c r="U16" s="9">
        <f t="shared" si="6"/>
        <v>261.55692946690544</v>
      </c>
      <c r="V16" s="9">
        <f t="shared" si="7"/>
        <v>1.4613895712583147E-2</v>
      </c>
      <c r="W16" s="9">
        <f t="shared" si="8"/>
        <v>1.3892306047323233</v>
      </c>
      <c r="X16" s="9">
        <f t="shared" si="9"/>
        <v>0.88903648797199375</v>
      </c>
      <c r="Y16" s="9">
        <f t="shared" si="10"/>
        <v>1.6260344844400001E-5</v>
      </c>
      <c r="Z16" s="9">
        <f t="shared" si="11"/>
        <v>0.17184290265975688</v>
      </c>
      <c r="AA16" s="9">
        <f t="shared" si="12"/>
        <v>6.7436855160892732E-4</v>
      </c>
      <c r="AB16" s="9">
        <f t="shared" si="13"/>
        <v>3.3719405238062951E-3</v>
      </c>
      <c r="AC16" s="9">
        <f t="shared" si="14"/>
        <v>0.53008136915138382</v>
      </c>
      <c r="AD16" s="9">
        <f t="shared" si="15"/>
        <v>9.4396872019200007E-8</v>
      </c>
      <c r="AE16" s="9">
        <f t="shared" si="16"/>
        <v>6.2930597229737453E-3</v>
      </c>
      <c r="AF16" s="9">
        <f t="shared" si="17"/>
        <v>6.7523741693648417E-5</v>
      </c>
      <c r="AG16" s="9">
        <f t="shared" si="18"/>
        <v>6.1379412438589982E-3</v>
      </c>
      <c r="AH16" s="9">
        <f t="shared" si="19"/>
        <v>6.3706702975560286E-3</v>
      </c>
      <c r="AI16" s="9">
        <f t="shared" si="20"/>
        <v>7.2096114056103614E-8</v>
      </c>
      <c r="AJ16" s="9">
        <f t="shared" si="21"/>
        <v>7.8642965935974774E-4</v>
      </c>
      <c r="AK16" s="9">
        <f t="shared" si="22"/>
        <v>1.4593417266835619E-2</v>
      </c>
      <c r="AL16" s="9">
        <f t="shared" si="23"/>
        <v>1.3265487883853462</v>
      </c>
      <c r="AM16" s="9">
        <f t="shared" si="24"/>
        <v>1.3768468332734012</v>
      </c>
      <c r="AN16" s="9">
        <f t="shared" si="25"/>
        <v>1.5581610991161357E-5</v>
      </c>
      <c r="AO16" s="9">
        <f t="shared" si="26"/>
        <v>0.16996534673865304</v>
      </c>
      <c r="AP16" s="9">
        <f t="shared" si="46"/>
        <v>1.4593417266835619E-2</v>
      </c>
      <c r="AQ16" s="9">
        <f t="shared" si="29"/>
        <v>1.3265487883853462</v>
      </c>
      <c r="AR16" s="9">
        <f t="shared" si="47"/>
        <v>1.3768468332734012</v>
      </c>
      <c r="AS16" s="9">
        <f t="shared" si="31"/>
        <v>1.5581610991161357E-5</v>
      </c>
      <c r="AT16" s="9">
        <f t="shared" si="39"/>
        <v>0.16876388724058722</v>
      </c>
      <c r="AU16">
        <f t="shared" si="40"/>
        <v>2.3102857285492093E-2</v>
      </c>
      <c r="AV16">
        <f t="shared" si="41"/>
        <v>3.6897301380389571</v>
      </c>
      <c r="AW16">
        <f t="shared" si="42"/>
        <v>1.6351480765914062</v>
      </c>
      <c r="AX16">
        <f t="shared" si="43"/>
        <v>2.4911380783295746E-5</v>
      </c>
      <c r="AY16">
        <f t="shared" si="44"/>
        <v>0.27795809749156891</v>
      </c>
      <c r="AZ16">
        <f>AP16/AU16</f>
        <v>0.63167153250779295</v>
      </c>
      <c r="BA16">
        <f t="shared" si="33"/>
        <v>0.35952460986493429</v>
      </c>
      <c r="BB16">
        <f t="shared" si="34"/>
        <v>0.84203189483826191</v>
      </c>
      <c r="BC16">
        <f t="shared" si="45"/>
        <v>0.62548162732149959</v>
      </c>
      <c r="BD16">
        <f t="shared" si="36"/>
        <v>0.60715585825200213</v>
      </c>
      <c r="BG16">
        <v>10</v>
      </c>
      <c r="BH16">
        <v>0</v>
      </c>
    </row>
    <row r="17" spans="2:60" x14ac:dyDescent="0.25">
      <c r="B17" t="s">
        <v>100</v>
      </c>
      <c r="C17" s="9" t="s">
        <v>117</v>
      </c>
      <c r="D17" s="10">
        <f t="shared" si="37"/>
        <v>99.999999999999972</v>
      </c>
      <c r="E17" s="8">
        <f>F17-$F$3</f>
        <v>6.944444444444442E-2</v>
      </c>
      <c r="F17" s="8">
        <v>0.4861111111111111</v>
      </c>
      <c r="G17" s="9">
        <v>10.0207</v>
      </c>
      <c r="H17" s="9">
        <v>18.7834</v>
      </c>
      <c r="I17" s="9">
        <v>14.1214</v>
      </c>
      <c r="J17" s="9">
        <f t="shared" si="1"/>
        <v>4.6620000000000008</v>
      </c>
      <c r="K17" s="9">
        <f t="shared" si="2"/>
        <v>4.1006999999999998</v>
      </c>
      <c r="L17" s="1">
        <v>77325</v>
      </c>
      <c r="M17" s="1">
        <v>11580</v>
      </c>
      <c r="N17" s="1">
        <v>34696627</v>
      </c>
      <c r="O17" s="1">
        <v>584945</v>
      </c>
      <c r="P17" s="1">
        <v>1391498</v>
      </c>
      <c r="Q17" s="9">
        <f t="shared" si="3"/>
        <v>12.066190626559777</v>
      </c>
      <c r="R17" s="9">
        <f t="shared" si="4"/>
        <v>2414.3741667231602</v>
      </c>
      <c r="S17" s="9">
        <f t="shared" si="5"/>
        <v>497.90076786769049</v>
      </c>
      <c r="T17" s="9">
        <f t="shared" si="0"/>
        <v>2.4397799999999999E-3</v>
      </c>
      <c r="U17" s="9">
        <f t="shared" si="6"/>
        <v>265.89465762298516</v>
      </c>
      <c r="V17" s="9">
        <f t="shared" si="7"/>
        <v>1.493915061474366E-2</v>
      </c>
      <c r="W17" s="9">
        <f t="shared" si="8"/>
        <v>1.4721793699531465</v>
      </c>
      <c r="X17" s="9">
        <f t="shared" si="9"/>
        <v>0.90040374861193151</v>
      </c>
      <c r="Y17" s="9">
        <f t="shared" si="10"/>
        <v>1.4732123573999998E-5</v>
      </c>
      <c r="Z17" s="9">
        <f t="shared" si="11"/>
        <v>0.17469279005830127</v>
      </c>
      <c r="AA17" s="9">
        <f t="shared" si="12"/>
        <v>6.8937766906723979E-4</v>
      </c>
      <c r="AB17" s="9">
        <f t="shared" si="13"/>
        <v>3.5732737667502775E-3</v>
      </c>
      <c r="AC17" s="9">
        <f t="shared" si="14"/>
        <v>0.53685901344949793</v>
      </c>
      <c r="AD17" s="9">
        <f t="shared" si="15"/>
        <v>8.5525024032000006E-8</v>
      </c>
      <c r="AE17" s="9">
        <f t="shared" si="16"/>
        <v>6.3974254624090234E-3</v>
      </c>
      <c r="AF17" s="9">
        <f t="shared" si="17"/>
        <v>7.2473251173478984E-5</v>
      </c>
      <c r="AG17" s="9">
        <f t="shared" si="18"/>
        <v>6.8779531464568822E-3</v>
      </c>
      <c r="AH17" s="9">
        <f t="shared" si="19"/>
        <v>6.3991800324811818E-3</v>
      </c>
      <c r="AI17" s="9">
        <f t="shared" si="20"/>
        <v>6.9031872568036035E-8</v>
      </c>
      <c r="AJ17" s="9">
        <f t="shared" si="21"/>
        <v>8.4065170984550137E-4</v>
      </c>
      <c r="AK17" s="9">
        <f t="shared" si="22"/>
        <v>1.7673385317989364E-2</v>
      </c>
      <c r="AL17" s="9">
        <f t="shared" si="23"/>
        <v>1.6772631859089624</v>
      </c>
      <c r="AM17" s="9">
        <f t="shared" si="24"/>
        <v>1.5605091892801672</v>
      </c>
      <c r="AN17" s="9">
        <f t="shared" si="25"/>
        <v>1.6834167963527213E-5</v>
      </c>
      <c r="AO17" s="9">
        <f t="shared" si="26"/>
        <v>0.20500200205952676</v>
      </c>
      <c r="AP17" s="9">
        <f t="shared" si="46"/>
        <v>1.7673385317989364E-2</v>
      </c>
      <c r="AQ17" s="9">
        <f t="shared" si="29"/>
        <v>1.6772631859089624</v>
      </c>
      <c r="AR17" s="9">
        <f t="shared" si="47"/>
        <v>1.5605091892801672</v>
      </c>
      <c r="AS17" s="9">
        <f t="shared" si="31"/>
        <v>1.6834167963527213E-5</v>
      </c>
      <c r="AT17" s="9">
        <f t="shared" si="39"/>
        <v>0.20380054256146093</v>
      </c>
      <c r="AU17">
        <f t="shared" si="40"/>
        <v>2.3012077634952006E-2</v>
      </c>
      <c r="AV17">
        <f t="shared" si="41"/>
        <v>3.6329176123227809</v>
      </c>
      <c r="AW17">
        <f t="shared" si="42"/>
        <v>1.636945736041806</v>
      </c>
      <c r="AX17">
        <f t="shared" si="43"/>
        <v>2.5201894814787125E-5</v>
      </c>
      <c r="AY17">
        <f t="shared" si="44"/>
        <v>0.27867341799217737</v>
      </c>
      <c r="AZ17">
        <f t="shared" ref="AZ17:AZ37" si="48">AP17/AU17</f>
        <v>0.76800476681627639</v>
      </c>
      <c r="BA17">
        <f t="shared" ref="BA17:BA37" si="49">AQ17/AV17</f>
        <v>0.46168489486789366</v>
      </c>
      <c r="BB17">
        <f t="shared" si="34"/>
        <v>0.95330538754053928</v>
      </c>
      <c r="BC17">
        <f t="shared" si="45"/>
        <v>0.66797231268697399</v>
      </c>
      <c r="BD17">
        <f t="shared" si="36"/>
        <v>0.73132394194548478</v>
      </c>
      <c r="BF17" s="9"/>
      <c r="BG17" s="10">
        <v>20.999999999999925</v>
      </c>
      <c r="BH17">
        <v>0</v>
      </c>
    </row>
    <row r="18" spans="2:60" x14ac:dyDescent="0.25">
      <c r="B18" t="s">
        <v>101</v>
      </c>
      <c r="C18" s="9" t="s">
        <v>117</v>
      </c>
      <c r="D18" s="10">
        <f t="shared" si="37"/>
        <v>121.99999999999997</v>
      </c>
      <c r="E18" s="8">
        <f t="shared" ref="E18:E27" si="50">F18-$F$3</f>
        <v>8.4722222222222199E-2</v>
      </c>
      <c r="F18" s="8">
        <v>0.50138888888888888</v>
      </c>
      <c r="G18" s="9">
        <v>9.9716000000000005</v>
      </c>
      <c r="H18" s="9">
        <v>19.087399999999999</v>
      </c>
      <c r="I18" s="9">
        <v>14.6547</v>
      </c>
      <c r="J18" s="9">
        <f t="shared" si="1"/>
        <v>4.4326999999999988</v>
      </c>
      <c r="K18" s="9">
        <f t="shared" si="2"/>
        <v>4.6830999999999996</v>
      </c>
      <c r="L18" s="1">
        <v>99138</v>
      </c>
      <c r="M18" s="1">
        <v>13501</v>
      </c>
      <c r="N18" s="1">
        <v>38807367</v>
      </c>
      <c r="O18" s="1">
        <v>786737</v>
      </c>
      <c r="P18" s="1">
        <v>1748541</v>
      </c>
      <c r="Q18" s="9">
        <f t="shared" si="3"/>
        <v>14.288129895794073</v>
      </c>
      <c r="R18" s="9">
        <f t="shared" si="4"/>
        <v>2848.4690303482248</v>
      </c>
      <c r="S18" s="9">
        <f t="shared" si="5"/>
        <v>557.12223934997769</v>
      </c>
      <c r="T18" s="9">
        <f t="shared" si="0"/>
        <v>3.2469479999999999E-3</v>
      </c>
      <c r="U18" s="9">
        <f t="shared" si="6"/>
        <v>333.92098845406389</v>
      </c>
      <c r="V18" s="9">
        <f t="shared" si="7"/>
        <v>1.769013362398264E-2</v>
      </c>
      <c r="W18" s="9">
        <f t="shared" si="8"/>
        <v>1.7368713599684298</v>
      </c>
      <c r="X18" s="9">
        <f t="shared" si="9"/>
        <v>1.0074998576404997</v>
      </c>
      <c r="Y18" s="9">
        <f t="shared" si="10"/>
        <v>1.9606046108399998E-5</v>
      </c>
      <c r="Z18" s="9">
        <f t="shared" si="11"/>
        <v>0.21938608941432</v>
      </c>
      <c r="AA18" s="9">
        <f t="shared" si="12"/>
        <v>8.1632372533640279E-4</v>
      </c>
      <c r="AB18" s="9">
        <f t="shared" si="13"/>
        <v>4.2157341649153735E-3</v>
      </c>
      <c r="AC18" s="9">
        <f t="shared" si="14"/>
        <v>0.6007142689679168</v>
      </c>
      <c r="AD18" s="9">
        <f t="shared" si="15"/>
        <v>1.138198139712E-7</v>
      </c>
      <c r="AE18" s="9">
        <f t="shared" si="16"/>
        <v>8.0341389822047773E-3</v>
      </c>
      <c r="AF18" s="9">
        <f t="shared" si="17"/>
        <v>8.2237980953150732E-5</v>
      </c>
      <c r="AG18" s="9">
        <f t="shared" si="18"/>
        <v>7.7187723819997717E-3</v>
      </c>
      <c r="AH18" s="9">
        <f t="shared" si="19"/>
        <v>7.2791496119666921E-3</v>
      </c>
      <c r="AI18" s="9">
        <f t="shared" si="20"/>
        <v>8.7440750155513173E-8</v>
      </c>
      <c r="AJ18" s="9">
        <f t="shared" si="21"/>
        <v>1.0100973948144192E-3</v>
      </c>
      <c r="AK18" s="9">
        <f t="shared" si="22"/>
        <v>1.7560586140195754E-2</v>
      </c>
      <c r="AL18" s="9">
        <f t="shared" si="23"/>
        <v>1.6482185693236899</v>
      </c>
      <c r="AM18" s="9">
        <f t="shared" si="24"/>
        <v>1.5543442616998766</v>
      </c>
      <c r="AN18" s="9">
        <f t="shared" si="25"/>
        <v>1.8671553064319187E-5</v>
      </c>
      <c r="AO18" s="9">
        <f t="shared" si="26"/>
        <v>0.2156899051513782</v>
      </c>
      <c r="AP18" s="9">
        <f t="shared" si="46"/>
        <v>1.7560586140195754E-2</v>
      </c>
      <c r="AQ18" s="9">
        <f t="shared" si="29"/>
        <v>1.6482185693236899</v>
      </c>
      <c r="AR18" s="9">
        <f t="shared" si="47"/>
        <v>1.5543442616998766</v>
      </c>
      <c r="AS18" s="9">
        <f t="shared" si="31"/>
        <v>1.8671553064319187E-5</v>
      </c>
      <c r="AT18" s="9">
        <f t="shared" si="39"/>
        <v>0.21448844565331238</v>
      </c>
      <c r="AU18">
        <f t="shared" si="40"/>
        <v>2.2912220019357915E-2</v>
      </c>
      <c r="AV18">
        <f t="shared" si="41"/>
        <v>3.5704238340349863</v>
      </c>
      <c r="AW18">
        <f t="shared" si="42"/>
        <v>1.6389231614372461</v>
      </c>
      <c r="AX18">
        <f t="shared" si="43"/>
        <v>2.5521460249427639E-5</v>
      </c>
      <c r="AY18">
        <f t="shared" si="44"/>
        <v>0.27946027054284667</v>
      </c>
      <c r="AZ18">
        <f t="shared" si="48"/>
        <v>0.76642883689835772</v>
      </c>
      <c r="BA18">
        <f t="shared" si="49"/>
        <v>0.46163106844965657</v>
      </c>
      <c r="BB18">
        <f t="shared" si="34"/>
        <v>0.94839361494946572</v>
      </c>
      <c r="BC18">
        <f t="shared" si="45"/>
        <v>0.73160206672492134</v>
      </c>
      <c r="BD18">
        <f t="shared" si="36"/>
        <v>0.7675096185825353</v>
      </c>
      <c r="BG18">
        <v>32</v>
      </c>
      <c r="BH18">
        <v>0</v>
      </c>
    </row>
    <row r="19" spans="2:60" s="4" customFormat="1" x14ac:dyDescent="0.25">
      <c r="B19" s="4" t="s">
        <v>102</v>
      </c>
      <c r="C19" s="5" t="s">
        <v>43</v>
      </c>
      <c r="D19" s="6">
        <f t="shared" si="37"/>
        <v>123.99999999999996</v>
      </c>
      <c r="E19" s="7">
        <f t="shared" si="50"/>
        <v>8.6111111111111083E-2</v>
      </c>
      <c r="F19" s="7">
        <v>0.50277777777777777</v>
      </c>
      <c r="G19" s="5">
        <v>9.7628000000000004</v>
      </c>
      <c r="H19" s="5">
        <v>18.717600000000001</v>
      </c>
      <c r="I19" s="5">
        <v>14.4612</v>
      </c>
      <c r="J19" s="5">
        <f t="shared" si="1"/>
        <v>4.2564000000000011</v>
      </c>
      <c r="K19" s="5">
        <f t="shared" si="2"/>
        <v>4.6983999999999995</v>
      </c>
      <c r="L19" s="1">
        <v>149615</v>
      </c>
      <c r="M19" s="1">
        <v>29377</v>
      </c>
      <c r="N19" s="1">
        <v>42018481</v>
      </c>
      <c r="O19" s="1">
        <v>1135268</v>
      </c>
      <c r="P19" s="1">
        <v>2375333</v>
      </c>
      <c r="Q19" s="5">
        <f t="shared" si="3"/>
        <v>19.429872365566204</v>
      </c>
      <c r="R19" s="5">
        <f t="shared" si="4"/>
        <v>6436.0224165593299</v>
      </c>
      <c r="S19" s="5">
        <f t="shared" si="5"/>
        <v>603.38322792560473</v>
      </c>
      <c r="T19" s="5">
        <f t="shared" si="0"/>
        <v>4.6410720000000004E-3</v>
      </c>
      <c r="U19" s="5">
        <f t="shared" si="6"/>
        <v>453.34178638113019</v>
      </c>
      <c r="V19" s="5">
        <f t="shared" si="7"/>
        <v>2.4056124975807516E-2</v>
      </c>
      <c r="W19" s="5">
        <f t="shared" si="8"/>
        <v>3.9244039125361767</v>
      </c>
      <c r="X19" s="5">
        <f t="shared" si="9"/>
        <v>1.0911582293806636</v>
      </c>
      <c r="Y19" s="5">
        <f t="shared" si="10"/>
        <v>2.80241850576E-5</v>
      </c>
      <c r="Z19" s="5">
        <f t="shared" si="11"/>
        <v>0.29784555365240256</v>
      </c>
      <c r="AA19" s="5">
        <f t="shared" si="12"/>
        <v>1.1100868978618941E-3</v>
      </c>
      <c r="AB19" s="5">
        <f t="shared" si="13"/>
        <v>9.5253131765078072E-3</v>
      </c>
      <c r="AC19" s="5">
        <f t="shared" si="14"/>
        <v>0.65059494859464373</v>
      </c>
      <c r="AD19" s="5">
        <f t="shared" si="15"/>
        <v>1.6268999431680002E-7</v>
      </c>
      <c r="AE19" s="5">
        <f t="shared" si="16"/>
        <v>1.0907403380329993E-2</v>
      </c>
      <c r="AF19" s="5">
        <f t="shared" si="17"/>
        <v>1.0760812262794146E-4</v>
      </c>
      <c r="AG19" s="5">
        <f t="shared" si="18"/>
        <v>1.674858654474749E-2</v>
      </c>
      <c r="AH19" s="5">
        <f t="shared" si="19"/>
        <v>7.7011611940129322E-3</v>
      </c>
      <c r="AI19" s="5">
        <f t="shared" si="20"/>
        <v>1.2004652394846671E-7</v>
      </c>
      <c r="AJ19" s="5">
        <f t="shared" si="21"/>
        <v>1.3189971586082289E-3</v>
      </c>
      <c r="AK19" s="5">
        <f t="shared" si="22"/>
        <v>2.2903142054303906E-2</v>
      </c>
      <c r="AL19" s="5">
        <f t="shared" si="23"/>
        <v>3.5647425814633689</v>
      </c>
      <c r="AM19" s="5">
        <f t="shared" si="24"/>
        <v>1.6391029273822861</v>
      </c>
      <c r="AN19" s="5">
        <f t="shared" si="25"/>
        <v>2.5550511652576777E-5</v>
      </c>
      <c r="AO19" s="5">
        <f t="shared" si="26"/>
        <v>0.28073326209097332</v>
      </c>
      <c r="AP19" s="5">
        <f t="shared" si="46"/>
        <v>2.2903142054303906E-2</v>
      </c>
      <c r="AQ19" s="5">
        <f t="shared" si="29"/>
        <v>3.5647425814633689</v>
      </c>
      <c r="AR19" s="5">
        <f t="shared" si="47"/>
        <v>1.6391029273822861</v>
      </c>
      <c r="AS19" s="5">
        <f t="shared" si="31"/>
        <v>2.5550511652576777E-5</v>
      </c>
      <c r="AT19" s="5">
        <f t="shared" si="39"/>
        <v>0.2795318025929075</v>
      </c>
      <c r="AU19" s="4">
        <f>AP19</f>
        <v>2.2903142054303906E-2</v>
      </c>
      <c r="AV19" s="4">
        <f t="shared" ref="AV19" si="51">AQ19</f>
        <v>3.5647425814633689</v>
      </c>
      <c r="AW19" s="4">
        <f t="shared" ref="AW19" si="52">AR19</f>
        <v>1.6391029273822861</v>
      </c>
      <c r="AX19" s="4">
        <f t="shared" ref="AX19" si="53">AS19</f>
        <v>2.5550511652576777E-5</v>
      </c>
      <c r="AY19" s="4">
        <f t="shared" ref="AY19" si="54">AT19</f>
        <v>0.2795318025929075</v>
      </c>
      <c r="AZ19" s="4">
        <f t="shared" si="48"/>
        <v>1</v>
      </c>
      <c r="BA19" s="4">
        <f t="shared" si="49"/>
        <v>1</v>
      </c>
      <c r="BB19" s="4">
        <f t="shared" si="34"/>
        <v>1</v>
      </c>
      <c r="BC19" s="4">
        <f t="shared" si="45"/>
        <v>1</v>
      </c>
      <c r="BD19" s="4">
        <f t="shared" si="36"/>
        <v>1</v>
      </c>
      <c r="BF19" s="5"/>
      <c r="BG19" s="10">
        <v>41.000000000000014</v>
      </c>
      <c r="BH19">
        <v>0</v>
      </c>
    </row>
    <row r="20" spans="2:60" x14ac:dyDescent="0.25">
      <c r="B20" t="s">
        <v>103</v>
      </c>
      <c r="C20" s="9" t="s">
        <v>117</v>
      </c>
      <c r="D20" s="10">
        <f t="shared" si="37"/>
        <v>140.00000000000006</v>
      </c>
      <c r="E20" s="8">
        <f t="shared" si="50"/>
        <v>9.7222222222222265E-2</v>
      </c>
      <c r="F20" s="8">
        <v>0.51388888888888895</v>
      </c>
      <c r="G20" s="9">
        <v>9.9761000000000006</v>
      </c>
      <c r="H20" s="9">
        <v>18.9589</v>
      </c>
      <c r="I20" s="9">
        <v>14.833299999999999</v>
      </c>
      <c r="J20" s="9">
        <f t="shared" si="1"/>
        <v>4.1256000000000004</v>
      </c>
      <c r="K20" s="9">
        <f t="shared" si="2"/>
        <v>4.8571999999999989</v>
      </c>
      <c r="L20" s="1">
        <v>117980</v>
      </c>
      <c r="M20" s="1">
        <v>16197</v>
      </c>
      <c r="N20" s="1">
        <v>41176096</v>
      </c>
      <c r="O20" s="1">
        <v>811412</v>
      </c>
      <c r="P20" s="1">
        <v>2059191</v>
      </c>
      <c r="Q20" s="9">
        <f t="shared" si="3"/>
        <v>16.207433967261206</v>
      </c>
      <c r="R20" s="9">
        <f t="shared" si="4"/>
        <v>3457.6932637335321</v>
      </c>
      <c r="S20" s="9">
        <f t="shared" si="5"/>
        <v>591.24738881765666</v>
      </c>
      <c r="T20" s="9">
        <f t="shared" si="0"/>
        <v>3.3456480000000001E-3</v>
      </c>
      <c r="U20" s="9">
        <f t="shared" si="6"/>
        <v>393.10820028197992</v>
      </c>
      <c r="V20" s="9">
        <f t="shared" si="7"/>
        <v>2.0066423994866099E-2</v>
      </c>
      <c r="W20" s="9">
        <f t="shared" si="8"/>
        <v>2.108349551057032</v>
      </c>
      <c r="X20" s="9">
        <f t="shared" si="9"/>
        <v>1.0692117779378505</v>
      </c>
      <c r="Y20" s="9">
        <f t="shared" si="10"/>
        <v>2.0202026318399998E-5</v>
      </c>
      <c r="Z20" s="9">
        <f t="shared" si="11"/>
        <v>0.25827208758526082</v>
      </c>
      <c r="AA20" s="9">
        <f t="shared" si="12"/>
        <v>9.2597932485153473E-4</v>
      </c>
      <c r="AB20" s="9">
        <f t="shared" si="13"/>
        <v>5.1173860303256272E-3</v>
      </c>
      <c r="AC20" s="9">
        <f t="shared" si="14"/>
        <v>0.6375095407556941</v>
      </c>
      <c r="AD20" s="9">
        <f t="shared" si="15"/>
        <v>1.172796832512E-7</v>
      </c>
      <c r="AE20" s="9">
        <f t="shared" si="16"/>
        <v>9.4581832987844366E-3</v>
      </c>
      <c r="AF20" s="9">
        <f t="shared" si="17"/>
        <v>8.7283705609888455E-5</v>
      </c>
      <c r="AG20" s="9">
        <f t="shared" si="18"/>
        <v>8.7230630752673909E-3</v>
      </c>
      <c r="AH20" s="9">
        <f t="shared" si="19"/>
        <v>7.5076514524189527E-3</v>
      </c>
      <c r="AI20" s="9">
        <f t="shared" si="20"/>
        <v>8.3915130656678759E-8</v>
      </c>
      <c r="AJ20" s="9">
        <f t="shared" si="21"/>
        <v>1.1114676124606082E-3</v>
      </c>
      <c r="AK20" s="9">
        <f t="shared" si="22"/>
        <v>1.796996327305618E-2</v>
      </c>
      <c r="AL20" s="9">
        <f t="shared" si="23"/>
        <v>1.7959036225124336</v>
      </c>
      <c r="AM20" s="9">
        <f t="shared" si="24"/>
        <v>1.5456747616772946</v>
      </c>
      <c r="AN20" s="9">
        <f t="shared" si="25"/>
        <v>1.7276441294712752E-5</v>
      </c>
      <c r="AO20" s="9">
        <f t="shared" si="26"/>
        <v>0.22882887516688799</v>
      </c>
      <c r="AP20" s="9">
        <f t="shared" si="46"/>
        <v>1.796996327305618E-2</v>
      </c>
      <c r="AQ20" s="9">
        <f t="shared" si="29"/>
        <v>1.7959036225124336</v>
      </c>
      <c r="AR20" s="9">
        <f t="shared" si="47"/>
        <v>1.5456747616772946</v>
      </c>
      <c r="AS20" s="9">
        <f t="shared" si="31"/>
        <v>1.7276441294712752E-5</v>
      </c>
      <c r="AT20" s="9">
        <f t="shared" ref="AT20:AT37" si="55">IF(AO20-(AVERAGE($AO$9:$AO$11))&lt;0,0,AO20-(AVERAGE($AO$9:$AO$11)))</f>
        <v>0.22762741566882216</v>
      </c>
      <c r="AU20">
        <f>$AU$19+(($AU$25-$AU$19)/($D$25-$D$19))*(D20-$D$19)</f>
        <v>2.2966102756285502E-2</v>
      </c>
      <c r="AV20">
        <f>$AV$19+(($AV$25-$AV$19)/($D$25-$D$19))*(D20-$D$19)</f>
        <v>3.5551069240830913</v>
      </c>
      <c r="AW20">
        <f>$AW$19+(($AW$25-$AW$19)/($D$25-$D$19))*(D20-$D$19)</f>
        <v>1.6571552940202161</v>
      </c>
      <c r="AX20">
        <f>$AX$19+(($AX$25-$AX$19)/($D$25-$D$19))*(D20-$D$19)</f>
        <v>2.584852343176066E-5</v>
      </c>
      <c r="AY20">
        <f>$AY$19+(($AY$25-$AY$19)/($D$25-$D$19))*(D20-$D$19)</f>
        <v>0.28115024571842823</v>
      </c>
      <c r="AZ20">
        <f t="shared" si="48"/>
        <v>0.78245592923414276</v>
      </c>
      <c r="BA20">
        <f t="shared" si="49"/>
        <v>0.50516163391502511</v>
      </c>
      <c r="BB20">
        <f t="shared" si="34"/>
        <v>0.93272776984438632</v>
      </c>
      <c r="BC20">
        <f t="shared" si="45"/>
        <v>0.66837246391740901</v>
      </c>
      <c r="BD20">
        <f t="shared" si="36"/>
        <v>0.8096290831514722</v>
      </c>
      <c r="BG20">
        <v>50</v>
      </c>
      <c r="BH20">
        <v>5.9802260298193612E-2</v>
      </c>
    </row>
    <row r="21" spans="2:60" x14ac:dyDescent="0.25">
      <c r="B21" t="s">
        <v>104</v>
      </c>
      <c r="C21" s="9" t="s">
        <v>117</v>
      </c>
      <c r="D21" s="10">
        <f t="shared" si="37"/>
        <v>160</v>
      </c>
      <c r="E21" s="8">
        <f t="shared" si="50"/>
        <v>0.1111111111111111</v>
      </c>
      <c r="F21" s="8">
        <v>0.52777777777777779</v>
      </c>
      <c r="G21" s="9">
        <v>10.004300000000001</v>
      </c>
      <c r="H21" s="9">
        <v>19.0227</v>
      </c>
      <c r="I21" s="9">
        <v>14.954599999999999</v>
      </c>
      <c r="J21" s="9">
        <f t="shared" si="1"/>
        <v>4.0681000000000012</v>
      </c>
      <c r="K21" s="9">
        <f t="shared" si="2"/>
        <v>4.9502999999999986</v>
      </c>
      <c r="L21" s="1">
        <v>132835</v>
      </c>
      <c r="M21" s="1">
        <v>17578</v>
      </c>
      <c r="N21" s="1">
        <v>42018698</v>
      </c>
      <c r="O21" s="1">
        <v>915059</v>
      </c>
      <c r="P21" s="1">
        <v>2229186</v>
      </c>
      <c r="Q21" s="9">
        <f t="shared" si="3"/>
        <v>17.720609956097015</v>
      </c>
      <c r="R21" s="9">
        <f t="shared" si="4"/>
        <v>3769.7625019772677</v>
      </c>
      <c r="S21" s="9">
        <f t="shared" si="5"/>
        <v>603.38635414115515</v>
      </c>
      <c r="T21" s="9">
        <f t="shared" si="0"/>
        <v>3.7602360000000001E-3</v>
      </c>
      <c r="U21" s="9">
        <f t="shared" si="6"/>
        <v>425.4968372518386</v>
      </c>
      <c r="V21" s="9">
        <f t="shared" si="7"/>
        <v>2.1939887186643716E-2</v>
      </c>
      <c r="W21" s="9">
        <f t="shared" si="8"/>
        <v>2.2986356719373582</v>
      </c>
      <c r="X21" s="9">
        <f t="shared" si="9"/>
        <v>1.091163882828865</v>
      </c>
      <c r="Y21" s="9">
        <f t="shared" si="10"/>
        <v>2.2705433038799999E-5</v>
      </c>
      <c r="Z21" s="9">
        <f t="shared" si="11"/>
        <v>0.27955142207445799</v>
      </c>
      <c r="AA21" s="9">
        <f t="shared" si="12"/>
        <v>1.0124316086216906E-3</v>
      </c>
      <c r="AB21" s="9">
        <f t="shared" si="13"/>
        <v>5.579248502926357E-3</v>
      </c>
      <c r="AC21" s="9">
        <f t="shared" si="14"/>
        <v>0.65059831942092972</v>
      </c>
      <c r="AD21" s="9">
        <f t="shared" si="15"/>
        <v>1.318128168384E-7</v>
      </c>
      <c r="AE21" s="9">
        <f t="shared" si="16"/>
        <v>1.0237453904279237E-2</v>
      </c>
      <c r="AF21" s="9">
        <f t="shared" si="17"/>
        <v>9.4265495256145291E-5</v>
      </c>
      <c r="AG21" s="9">
        <f t="shared" si="18"/>
        <v>9.3786987308724055E-3</v>
      </c>
      <c r="AH21" s="9">
        <f t="shared" si="19"/>
        <v>7.6596206523655338E-3</v>
      </c>
      <c r="AI21" s="9">
        <f t="shared" si="20"/>
        <v>9.3020485132337431E-8</v>
      </c>
      <c r="AJ21" s="9">
        <f t="shared" si="21"/>
        <v>1.1879216082034566E-3</v>
      </c>
      <c r="AK21" s="9">
        <f t="shared" si="22"/>
        <v>1.9042380311525626E-2</v>
      </c>
      <c r="AL21" s="9">
        <f t="shared" si="23"/>
        <v>1.8945717897647432</v>
      </c>
      <c r="AM21" s="9">
        <f t="shared" si="24"/>
        <v>1.5473043355686598</v>
      </c>
      <c r="AN21" s="9">
        <f t="shared" si="25"/>
        <v>1.8790878357339443E-5</v>
      </c>
      <c r="AO21" s="9">
        <f t="shared" si="26"/>
        <v>0.23996961966011288</v>
      </c>
      <c r="AP21" s="9">
        <f t="shared" si="46"/>
        <v>1.9042380311525626E-2</v>
      </c>
      <c r="AQ21" s="9">
        <f t="shared" si="29"/>
        <v>1.8945717897647432</v>
      </c>
      <c r="AR21" s="9">
        <f t="shared" si="47"/>
        <v>1.5473043355686598</v>
      </c>
      <c r="AS21" s="9">
        <f t="shared" si="31"/>
        <v>1.8790878357339443E-5</v>
      </c>
      <c r="AT21" s="9">
        <f t="shared" si="55"/>
        <v>0.23876816016204705</v>
      </c>
      <c r="AU21">
        <f t="shared" ref="AU21:AU24" si="56">$AU$19+(($AU$25-$AU$19)/($D$25-$D$19))*(D21-$D$19)</f>
        <v>2.3044803633762493E-2</v>
      </c>
      <c r="AV21">
        <f t="shared" ref="AV21:AV24" si="57">$AV$19+(($AV$25-$AV$19)/($D$25-$D$19))*(D21-$D$19)</f>
        <v>3.5430623523577442</v>
      </c>
      <c r="AW21">
        <f t="shared" ref="AW21:AW24" si="58">$AW$19+(($AW$25-$AW$19)/($D$25-$D$19))*(D21-$D$19)</f>
        <v>1.6797207523176283</v>
      </c>
      <c r="AX21">
        <f t="shared" ref="AX21:AX24" si="59">$AX$19+(($AX$25-$AX$19)/($D$25-$D$19))*(D21-$D$19)</f>
        <v>2.6221038155740515E-5</v>
      </c>
      <c r="AY21">
        <f t="shared" ref="AY21:AY24" si="60">$AY$19+(($AY$25-$AY$19)/($D$25-$D$19))*(D21-$D$19)</f>
        <v>0.28317329962532906</v>
      </c>
      <c r="AZ21">
        <f t="shared" si="48"/>
        <v>0.82631992071423011</v>
      </c>
      <c r="BA21">
        <f t="shared" si="49"/>
        <v>0.5347271939778292</v>
      </c>
      <c r="BB21">
        <f t="shared" si="34"/>
        <v>0.92116760088469207</v>
      </c>
      <c r="BC21">
        <f t="shared" si="45"/>
        <v>0.71663365293664383</v>
      </c>
      <c r="BD21">
        <f t="shared" si="36"/>
        <v>0.84318740671512771</v>
      </c>
      <c r="BF21" s="9"/>
      <c r="BG21" s="10">
        <v>59.999999999999943</v>
      </c>
      <c r="BH21">
        <v>0.15904688682153165</v>
      </c>
    </row>
    <row r="22" spans="2:60" x14ac:dyDescent="0.25">
      <c r="B22" t="s">
        <v>105</v>
      </c>
      <c r="C22" s="11" t="s">
        <v>117</v>
      </c>
      <c r="D22" s="12">
        <f t="shared" si="37"/>
        <v>179.99999999999991</v>
      </c>
      <c r="E22" s="8">
        <f t="shared" si="50"/>
        <v>0.12499999999999994</v>
      </c>
      <c r="F22" s="8">
        <v>0.54166666666666663</v>
      </c>
      <c r="G22" s="9">
        <v>9.8887999999999998</v>
      </c>
      <c r="H22" s="9">
        <v>18.803699999999999</v>
      </c>
      <c r="I22" s="9">
        <v>14.467599999999999</v>
      </c>
      <c r="J22" s="9">
        <f t="shared" si="1"/>
        <v>4.3361000000000001</v>
      </c>
      <c r="K22" s="9">
        <f t="shared" si="2"/>
        <v>4.5787999999999993</v>
      </c>
      <c r="L22" s="1">
        <v>153612</v>
      </c>
      <c r="M22" s="1">
        <v>16912</v>
      </c>
      <c r="N22" s="1">
        <v>40044430</v>
      </c>
      <c r="O22" s="1">
        <v>837595</v>
      </c>
      <c r="P22" s="1">
        <v>2083528</v>
      </c>
      <c r="Q22" s="9">
        <f t="shared" si="3"/>
        <v>19.837019078954068</v>
      </c>
      <c r="R22" s="9">
        <f t="shared" si="4"/>
        <v>3619.2642306736266</v>
      </c>
      <c r="S22" s="9">
        <f t="shared" si="5"/>
        <v>574.94401625055821</v>
      </c>
      <c r="T22" s="9">
        <f t="shared" si="0"/>
        <v>3.4503799999999999E-3</v>
      </c>
      <c r="U22" s="9">
        <f t="shared" si="6"/>
        <v>397.74505582441026</v>
      </c>
      <c r="V22" s="9">
        <f t="shared" si="7"/>
        <v>2.4560213321653028E-2</v>
      </c>
      <c r="W22" s="9">
        <f t="shared" si="8"/>
        <v>2.206868433337577</v>
      </c>
      <c r="X22" s="9">
        <f t="shared" si="9"/>
        <v>1.0397287589875095</v>
      </c>
      <c r="Y22" s="9">
        <f t="shared" si="10"/>
        <v>2.0834429553999999E-5</v>
      </c>
      <c r="Z22" s="9">
        <f t="shared" si="11"/>
        <v>0.26131850167663756</v>
      </c>
      <c r="AA22" s="9">
        <f t="shared" si="12"/>
        <v>1.1333484110378829E-3</v>
      </c>
      <c r="AB22" s="9">
        <f t="shared" si="13"/>
        <v>5.3565110613969678E-3</v>
      </c>
      <c r="AC22" s="9">
        <f t="shared" si="14"/>
        <v>0.61993051080208317</v>
      </c>
      <c r="AD22" s="9">
        <f t="shared" si="15"/>
        <v>1.20951000672E-7</v>
      </c>
      <c r="AE22" s="9">
        <f t="shared" si="16"/>
        <v>9.5697460431353101E-3</v>
      </c>
      <c r="AF22" s="9">
        <f t="shared" si="17"/>
        <v>1.1168491668847995E-4</v>
      </c>
      <c r="AG22" s="9">
        <f t="shared" si="18"/>
        <v>9.5937286066429921E-3</v>
      </c>
      <c r="AH22" s="9">
        <f t="shared" si="19"/>
        <v>7.3469056947063184E-3</v>
      </c>
      <c r="AI22" s="9">
        <f t="shared" si="20"/>
        <v>9.0893980430976346E-8</v>
      </c>
      <c r="AJ22" s="9">
        <f t="shared" si="21"/>
        <v>1.176921108302376E-3</v>
      </c>
      <c r="AK22" s="9">
        <f t="shared" si="22"/>
        <v>2.4391743838665145E-2</v>
      </c>
      <c r="AL22" s="9">
        <f t="shared" si="23"/>
        <v>2.095249542815365</v>
      </c>
      <c r="AM22" s="9">
        <f t="shared" si="24"/>
        <v>1.6045482866048573</v>
      </c>
      <c r="AN22" s="9">
        <f t="shared" si="25"/>
        <v>1.9851048403725073E-5</v>
      </c>
      <c r="AO22" s="9">
        <f t="shared" si="26"/>
        <v>0.25703702024599812</v>
      </c>
      <c r="AP22" s="9">
        <f t="shared" si="46"/>
        <v>2.4391743838665145E-2</v>
      </c>
      <c r="AQ22" s="9">
        <f t="shared" si="29"/>
        <v>2.095249542815365</v>
      </c>
      <c r="AR22" s="9">
        <f t="shared" si="47"/>
        <v>1.6045482866048573</v>
      </c>
      <c r="AS22" s="9">
        <f t="shared" si="31"/>
        <v>1.9851048403725073E-5</v>
      </c>
      <c r="AT22" s="9">
        <f t="shared" si="55"/>
        <v>0.25583556074793229</v>
      </c>
      <c r="AU22">
        <f>$AU$19+(($AU$25-$AU$19)/($D$25-$D$19))*(D22-$D$19)</f>
        <v>2.3123504511239484E-2</v>
      </c>
      <c r="AV22">
        <f t="shared" si="57"/>
        <v>3.5310177806323972</v>
      </c>
      <c r="AW22">
        <f t="shared" si="58"/>
        <v>1.7022862106150405</v>
      </c>
      <c r="AX22">
        <f t="shared" si="59"/>
        <v>2.6593552879720366E-5</v>
      </c>
      <c r="AY22">
        <f t="shared" si="60"/>
        <v>0.28519635353222994</v>
      </c>
      <c r="AZ22" s="3">
        <f t="shared" si="48"/>
        <v>1.0548463286267535</v>
      </c>
      <c r="BA22" s="3">
        <f t="shared" si="49"/>
        <v>0.59338402494255083</v>
      </c>
      <c r="BB22" s="3">
        <f t="shared" si="34"/>
        <v>0.94258431784225627</v>
      </c>
      <c r="BC22" s="3">
        <f t="shared" si="45"/>
        <v>0.74646093711167971</v>
      </c>
      <c r="BD22" s="3">
        <f t="shared" si="36"/>
        <v>0.89705060243352797</v>
      </c>
      <c r="BG22">
        <v>70</v>
      </c>
      <c r="BH22">
        <v>0.61562860360784166</v>
      </c>
    </row>
    <row r="23" spans="2:60" x14ac:dyDescent="0.25">
      <c r="B23" t="s">
        <v>106</v>
      </c>
      <c r="C23" s="9" t="s">
        <v>117</v>
      </c>
      <c r="D23" s="10">
        <f t="shared" si="37"/>
        <v>211.99999999999997</v>
      </c>
      <c r="E23" s="8">
        <f t="shared" si="50"/>
        <v>0.1472222222222222</v>
      </c>
      <c r="F23" s="8">
        <v>0.56388888888888888</v>
      </c>
      <c r="G23" s="9">
        <v>9.8124000000000002</v>
      </c>
      <c r="H23" s="9">
        <v>18.8354</v>
      </c>
      <c r="I23" s="9">
        <v>14.958</v>
      </c>
      <c r="J23" s="9">
        <f t="shared" si="1"/>
        <v>3.8773999999999997</v>
      </c>
      <c r="K23" s="9">
        <f t="shared" si="2"/>
        <v>5.1456</v>
      </c>
      <c r="L23" s="1">
        <v>150968</v>
      </c>
      <c r="M23" s="1">
        <v>20773</v>
      </c>
      <c r="N23" s="1">
        <v>46995292</v>
      </c>
      <c r="O23" s="1">
        <v>1057924</v>
      </c>
      <c r="P23" s="1">
        <v>2609666</v>
      </c>
      <c r="Q23" s="9">
        <f t="shared" si="3"/>
        <v>19.56769310692567</v>
      </c>
      <c r="R23" s="9">
        <f t="shared" si="4"/>
        <v>4491.7474521501372</v>
      </c>
      <c r="S23" s="9">
        <f t="shared" si="5"/>
        <v>675.0817714261018</v>
      </c>
      <c r="T23" s="9">
        <f t="shared" si="0"/>
        <v>4.3316960000000003E-3</v>
      </c>
      <c r="U23" s="9">
        <f t="shared" si="6"/>
        <v>497.98854932743967</v>
      </c>
      <c r="V23" s="9">
        <f t="shared" si="7"/>
        <v>2.4226760835684671E-2</v>
      </c>
      <c r="W23" s="9">
        <f t="shared" si="8"/>
        <v>2.7388703976525224</v>
      </c>
      <c r="X23" s="9">
        <f t="shared" si="9"/>
        <v>1.2208178754469625</v>
      </c>
      <c r="Y23" s="9">
        <f t="shared" si="10"/>
        <v>2.6156079956799999E-5</v>
      </c>
      <c r="Z23" s="9">
        <f t="shared" si="11"/>
        <v>0.3271784769081279</v>
      </c>
      <c r="AA23" s="9">
        <f t="shared" si="12"/>
        <v>1.1179610102779844E-3</v>
      </c>
      <c r="AB23" s="9">
        <f t="shared" si="13"/>
        <v>6.6477862291822037E-3</v>
      </c>
      <c r="AC23" s="9">
        <f t="shared" si="14"/>
        <v>0.72790354463133722</v>
      </c>
      <c r="AD23" s="9">
        <f t="shared" si="15"/>
        <v>1.5184500426240002E-7</v>
      </c>
      <c r="AE23" s="9">
        <f t="shared" si="16"/>
        <v>1.1981604496818196E-2</v>
      </c>
      <c r="AF23" s="9">
        <f t="shared" si="17"/>
        <v>9.9689422638770132E-5</v>
      </c>
      <c r="AG23" s="9">
        <f t="shared" si="18"/>
        <v>1.0653902928678771E-2</v>
      </c>
      <c r="AH23" s="9">
        <f t="shared" si="19"/>
        <v>8.4790997095130615E-3</v>
      </c>
      <c r="AI23" s="9">
        <f t="shared" si="20"/>
        <v>1.0219891807842892E-7</v>
      </c>
      <c r="AJ23" s="9">
        <f t="shared" si="21"/>
        <v>1.3302543704624028E-3</v>
      </c>
      <c r="AK23" s="9">
        <f t="shared" si="22"/>
        <v>1.9373721750382877E-2</v>
      </c>
      <c r="AL23" s="9">
        <f t="shared" si="23"/>
        <v>2.0704879758781813</v>
      </c>
      <c r="AM23" s="9">
        <f t="shared" si="24"/>
        <v>1.6478349870788753</v>
      </c>
      <c r="AN23" s="9">
        <f t="shared" si="25"/>
        <v>1.9861419091734476E-5</v>
      </c>
      <c r="AO23" s="9">
        <f t="shared" si="26"/>
        <v>0.25852269326461502</v>
      </c>
      <c r="AP23" s="9">
        <f t="shared" si="46"/>
        <v>1.9373721750382877E-2</v>
      </c>
      <c r="AQ23" s="9">
        <f t="shared" si="29"/>
        <v>2.0704879758781813</v>
      </c>
      <c r="AR23" s="9">
        <f t="shared" si="47"/>
        <v>1.6478349870788753</v>
      </c>
      <c r="AS23" s="9">
        <f t="shared" si="31"/>
        <v>1.9861419091734476E-5</v>
      </c>
      <c r="AT23" s="9">
        <f t="shared" si="55"/>
        <v>0.2573212337665492</v>
      </c>
      <c r="AU23">
        <f t="shared" si="56"/>
        <v>2.3249425915202675E-2</v>
      </c>
      <c r="AV23">
        <f t="shared" si="57"/>
        <v>3.511746465871842</v>
      </c>
      <c r="AW23">
        <f t="shared" si="58"/>
        <v>1.7383909438909002</v>
      </c>
      <c r="AX23">
        <f t="shared" si="59"/>
        <v>2.7189576438088133E-5</v>
      </c>
      <c r="AY23">
        <f t="shared" si="60"/>
        <v>0.28843323978327129</v>
      </c>
      <c r="AZ23">
        <f t="shared" si="48"/>
        <v>0.83329893052174264</v>
      </c>
      <c r="BA23">
        <f t="shared" si="49"/>
        <v>0.58958925309665045</v>
      </c>
      <c r="BB23">
        <f t="shared" si="34"/>
        <v>0.94790817501077129</v>
      </c>
      <c r="BC23">
        <f t="shared" si="45"/>
        <v>0.7304791649461625</v>
      </c>
      <c r="BD23">
        <f t="shared" si="36"/>
        <v>0.89213446397474971</v>
      </c>
      <c r="BF23" s="9"/>
      <c r="BG23" s="10">
        <v>80.000000000000028</v>
      </c>
      <c r="BH23">
        <v>0.90692049013258691</v>
      </c>
    </row>
    <row r="24" spans="2:60" x14ac:dyDescent="0.25">
      <c r="B24" t="s">
        <v>107</v>
      </c>
      <c r="C24" s="9" t="s">
        <v>117</v>
      </c>
      <c r="D24" s="10">
        <f t="shared" si="37"/>
        <v>241.00000000000003</v>
      </c>
      <c r="E24" s="8">
        <f t="shared" si="50"/>
        <v>0.16736111111111113</v>
      </c>
      <c r="F24" s="8">
        <v>0.58402777777777781</v>
      </c>
      <c r="G24" s="9">
        <v>9.8057999999999996</v>
      </c>
      <c r="H24" s="9">
        <v>18.924399999999999</v>
      </c>
      <c r="I24" s="9">
        <v>14.6945</v>
      </c>
      <c r="J24" s="9">
        <f t="shared" si="1"/>
        <v>4.2298999999999989</v>
      </c>
      <c r="K24" s="9">
        <f t="shared" si="2"/>
        <v>4.8887</v>
      </c>
      <c r="L24" s="1">
        <v>140894</v>
      </c>
      <c r="M24" s="1">
        <v>18879</v>
      </c>
      <c r="N24" s="1">
        <v>44191094</v>
      </c>
      <c r="O24" s="1">
        <v>1045431</v>
      </c>
      <c r="P24" s="1">
        <v>2303826</v>
      </c>
      <c r="Q24" s="9">
        <f t="shared" si="3"/>
        <v>18.541524482790233</v>
      </c>
      <c r="R24" s="9">
        <f t="shared" si="4"/>
        <v>4063.7538697941386</v>
      </c>
      <c r="S24" s="9">
        <f t="shared" si="5"/>
        <v>634.68302767493117</v>
      </c>
      <c r="T24" s="9">
        <f t="shared" si="0"/>
        <v>4.2817240000000006E-3</v>
      </c>
      <c r="U24" s="9">
        <f t="shared" si="6"/>
        <v>439.71777235834315</v>
      </c>
      <c r="V24" s="9">
        <f t="shared" si="7"/>
        <v>2.295626146214259E-2</v>
      </c>
      <c r="W24" s="9">
        <f t="shared" si="8"/>
        <v>2.4778987010939866</v>
      </c>
      <c r="X24" s="9">
        <f t="shared" si="9"/>
        <v>1.1477607872473454</v>
      </c>
      <c r="Y24" s="9">
        <f t="shared" si="10"/>
        <v>2.5854334029200001E-5</v>
      </c>
      <c r="Z24" s="9">
        <f t="shared" si="11"/>
        <v>0.28889457643943145</v>
      </c>
      <c r="AA24" s="9">
        <f t="shared" si="12"/>
        <v>1.0593329182752545E-3</v>
      </c>
      <c r="AB24" s="9">
        <f t="shared" si="13"/>
        <v>6.0143557272953245E-3</v>
      </c>
      <c r="AC24" s="9">
        <f t="shared" si="14"/>
        <v>0.68434380117535609</v>
      </c>
      <c r="AD24" s="9">
        <f t="shared" si="15"/>
        <v>1.500932657856E-7</v>
      </c>
      <c r="AE24" s="9">
        <f t="shared" si="16"/>
        <v>1.0579609602941735E-2</v>
      </c>
      <c r="AF24" s="9">
        <f t="shared" si="17"/>
        <v>1.0228145119628916E-4</v>
      </c>
      <c r="AG24" s="9">
        <f t="shared" si="18"/>
        <v>1.051066609660148E-2</v>
      </c>
      <c r="AH24" s="9">
        <f t="shared" si="19"/>
        <v>8.2004648947835088E-3</v>
      </c>
      <c r="AI24" s="9">
        <f t="shared" si="20"/>
        <v>1.1009500845855912E-7</v>
      </c>
      <c r="AJ24" s="9">
        <f t="shared" si="21"/>
        <v>1.2737157063470522E-3</v>
      </c>
      <c r="AK24" s="9">
        <f t="shared" si="22"/>
        <v>2.0922014277065307E-2</v>
      </c>
      <c r="AL24" s="9">
        <f t="shared" si="23"/>
        <v>2.1499920421792051</v>
      </c>
      <c r="AM24" s="9">
        <f t="shared" si="24"/>
        <v>1.6774326292845765</v>
      </c>
      <c r="AN24" s="9">
        <f t="shared" si="25"/>
        <v>2.2520303650982699E-5</v>
      </c>
      <c r="AO24" s="9">
        <f t="shared" si="26"/>
        <v>0.26054282454375438</v>
      </c>
      <c r="AP24" s="9">
        <f t="shared" si="46"/>
        <v>2.0922014277065307E-2</v>
      </c>
      <c r="AQ24" s="9">
        <f t="shared" si="29"/>
        <v>2.1499920421792051</v>
      </c>
      <c r="AR24" s="9">
        <f t="shared" si="47"/>
        <v>1.6774326292845765</v>
      </c>
      <c r="AS24" s="9">
        <f t="shared" si="31"/>
        <v>2.2520303650982699E-5</v>
      </c>
      <c r="AT24" s="9">
        <f t="shared" si="55"/>
        <v>0.25934136504568855</v>
      </c>
      <c r="AU24">
        <f t="shared" si="56"/>
        <v>2.3363542187544314E-2</v>
      </c>
      <c r="AV24">
        <f t="shared" si="57"/>
        <v>3.4942818368700888</v>
      </c>
      <c r="AW24">
        <f t="shared" si="58"/>
        <v>1.7711108584221482</v>
      </c>
      <c r="AX24">
        <f t="shared" si="59"/>
        <v>2.7729722787858921E-5</v>
      </c>
      <c r="AY24">
        <f t="shared" si="60"/>
        <v>0.29136666794827759</v>
      </c>
      <c r="AZ24">
        <f t="shared" si="48"/>
        <v>0.8954983841542381</v>
      </c>
      <c r="BA24">
        <f t="shared" si="49"/>
        <v>0.61528867519885122</v>
      </c>
      <c r="BB24">
        <f t="shared" si="34"/>
        <v>0.94710764225056587</v>
      </c>
      <c r="BC24">
        <f t="shared" si="45"/>
        <v>0.81213591002225616</v>
      </c>
      <c r="BD24">
        <f t="shared" si="36"/>
        <v>0.89008590746463123</v>
      </c>
      <c r="BG24" s="10">
        <v>99.999999999999972</v>
      </c>
      <c r="BH24">
        <v>0.9550573809331192</v>
      </c>
    </row>
    <row r="25" spans="2:60" s="4" customFormat="1" x14ac:dyDescent="0.25">
      <c r="B25" s="4" t="s">
        <v>108</v>
      </c>
      <c r="C25" s="5" t="s">
        <v>44</v>
      </c>
      <c r="D25" s="6">
        <f t="shared" si="37"/>
        <v>244</v>
      </c>
      <c r="E25" s="7">
        <f t="shared" si="50"/>
        <v>0.16944444444444445</v>
      </c>
      <c r="F25" s="7">
        <v>0.58611111111111114</v>
      </c>
      <c r="G25" s="5">
        <v>9.9160000000000004</v>
      </c>
      <c r="H25" s="5">
        <v>18.928999999999998</v>
      </c>
      <c r="I25" s="5">
        <v>14.567600000000001</v>
      </c>
      <c r="J25" s="5">
        <f t="shared" si="1"/>
        <v>4.3613999999999979</v>
      </c>
      <c r="K25" s="5">
        <f t="shared" si="2"/>
        <v>4.6516000000000002</v>
      </c>
      <c r="L25" s="1">
        <v>147277</v>
      </c>
      <c r="M25" s="1">
        <v>27859</v>
      </c>
      <c r="N25" s="1">
        <v>44541349</v>
      </c>
      <c r="O25" s="1">
        <v>1194385</v>
      </c>
      <c r="P25" s="1">
        <v>2397476</v>
      </c>
      <c r="Q25" s="5">
        <f t="shared" si="3"/>
        <v>19.191716494687839</v>
      </c>
      <c r="R25" s="5">
        <f t="shared" si="4"/>
        <v>6092.994825209591</v>
      </c>
      <c r="S25" s="5">
        <f t="shared" si="5"/>
        <v>639.72898448417448</v>
      </c>
      <c r="T25" s="5">
        <f t="shared" si="0"/>
        <v>4.8775400000000005E-3</v>
      </c>
      <c r="U25" s="5">
        <f t="shared" si="6"/>
        <v>457.56062569066034</v>
      </c>
      <c r="V25" s="5">
        <f t="shared" si="7"/>
        <v>2.3761264192073014E-2</v>
      </c>
      <c r="W25" s="5">
        <f t="shared" si="8"/>
        <v>3.7152407470790192</v>
      </c>
      <c r="X25" s="5">
        <f t="shared" si="9"/>
        <v>1.1568858955411812</v>
      </c>
      <c r="Y25" s="5">
        <f t="shared" si="10"/>
        <v>2.9452049782E-5</v>
      </c>
      <c r="Z25" s="5">
        <f t="shared" si="11"/>
        <v>0.30061733107876387</v>
      </c>
      <c r="AA25" s="5">
        <f t="shared" si="12"/>
        <v>1.0964803384910004E-3</v>
      </c>
      <c r="AB25" s="5">
        <f t="shared" si="13"/>
        <v>9.017632341310193E-3</v>
      </c>
      <c r="AC25" s="5">
        <f t="shared" si="14"/>
        <v>0.68978457887513878</v>
      </c>
      <c r="AD25" s="5">
        <f t="shared" si="15"/>
        <v>1.7097923817600003E-7</v>
      </c>
      <c r="AE25" s="5">
        <f t="shared" si="16"/>
        <v>1.1008908654117288E-2</v>
      </c>
      <c r="AF25" s="5">
        <f t="shared" si="17"/>
        <v>1.0873276558983193E-4</v>
      </c>
      <c r="AG25" s="5">
        <f t="shared" si="18"/>
        <v>1.6245597412909263E-2</v>
      </c>
      <c r="AH25" s="5">
        <f t="shared" si="19"/>
        <v>8.2542440919089015E-3</v>
      </c>
      <c r="AI25" s="5">
        <f t="shared" si="20"/>
        <v>1.2924749694351425E-7</v>
      </c>
      <c r="AJ25" s="5">
        <f t="shared" si="21"/>
        <v>1.362321467262412E-3</v>
      </c>
      <c r="AK25" s="5">
        <f t="shared" si="22"/>
        <v>2.3375347319165862E-2</v>
      </c>
      <c r="AL25" s="5">
        <f t="shared" si="23"/>
        <v>3.4924751511112868</v>
      </c>
      <c r="AM25" s="5">
        <f t="shared" si="24"/>
        <v>1.7744956771667599</v>
      </c>
      <c r="AN25" s="5">
        <f t="shared" si="25"/>
        <v>2.7785599996455899E-5</v>
      </c>
      <c r="AO25" s="5">
        <f t="shared" si="26"/>
        <v>0.29287158553237852</v>
      </c>
      <c r="AP25" s="5">
        <f t="shared" si="46"/>
        <v>2.3375347319165862E-2</v>
      </c>
      <c r="AQ25" s="5">
        <f t="shared" si="29"/>
        <v>3.4924751511112868</v>
      </c>
      <c r="AR25" s="5">
        <f t="shared" si="47"/>
        <v>1.7744956771667599</v>
      </c>
      <c r="AS25" s="5">
        <f t="shared" si="31"/>
        <v>2.7785599996455899E-5</v>
      </c>
      <c r="AT25" s="5">
        <f t="shared" si="55"/>
        <v>0.29167012603431269</v>
      </c>
      <c r="AU25" s="4">
        <f>AP25</f>
        <v>2.3375347319165862E-2</v>
      </c>
      <c r="AV25" s="4">
        <f t="shared" ref="AV25:AY25" si="61">AQ25</f>
        <v>3.4924751511112868</v>
      </c>
      <c r="AW25" s="4">
        <f t="shared" si="61"/>
        <v>1.7744956771667599</v>
      </c>
      <c r="AX25" s="4">
        <f t="shared" si="61"/>
        <v>2.7785599996455899E-5</v>
      </c>
      <c r="AY25" s="4">
        <f t="shared" si="61"/>
        <v>0.29167012603431269</v>
      </c>
      <c r="AZ25" s="4">
        <f t="shared" si="48"/>
        <v>1</v>
      </c>
      <c r="BA25" s="4">
        <f t="shared" si="49"/>
        <v>1</v>
      </c>
      <c r="BB25" s="4">
        <f t="shared" si="34"/>
        <v>1</v>
      </c>
      <c r="BC25" s="4">
        <f t="shared" si="45"/>
        <v>1</v>
      </c>
      <c r="BD25" s="4">
        <f t="shared" si="36"/>
        <v>1</v>
      </c>
      <c r="BF25" s="5"/>
      <c r="BG25" s="10">
        <v>121.99999999999997</v>
      </c>
      <c r="BH25">
        <v>1.0050483485867376</v>
      </c>
    </row>
    <row r="26" spans="2:60" x14ac:dyDescent="0.25">
      <c r="B26" t="s">
        <v>109</v>
      </c>
      <c r="C26" s="9" t="s">
        <v>117</v>
      </c>
      <c r="D26" s="10">
        <f t="shared" si="37"/>
        <v>271.99999999999989</v>
      </c>
      <c r="E26" s="8">
        <f t="shared" si="50"/>
        <v>0.18888888888888883</v>
      </c>
      <c r="F26" s="8">
        <v>0.60555555555555551</v>
      </c>
      <c r="G26" s="9">
        <v>9.8172999999999995</v>
      </c>
      <c r="H26" s="9">
        <v>18.844999999999999</v>
      </c>
      <c r="I26" s="9">
        <v>14.6747</v>
      </c>
      <c r="J26" s="9">
        <f t="shared" si="1"/>
        <v>4.1702999999999992</v>
      </c>
      <c r="K26" s="9">
        <f t="shared" si="2"/>
        <v>4.8574000000000002</v>
      </c>
      <c r="L26" s="1">
        <v>143193</v>
      </c>
      <c r="M26" s="1">
        <v>20926</v>
      </c>
      <c r="N26" s="1">
        <v>45573854</v>
      </c>
      <c r="O26" s="1">
        <v>1120278</v>
      </c>
      <c r="P26" s="1">
        <v>2451339</v>
      </c>
      <c r="Q26" s="9">
        <f t="shared" si="3"/>
        <v>18.775707693718104</v>
      </c>
      <c r="R26" s="9">
        <f t="shared" si="4"/>
        <v>4526.3213793415143</v>
      </c>
      <c r="S26" s="9">
        <f t="shared" si="5"/>
        <v>654.60379179692563</v>
      </c>
      <c r="T26" s="9">
        <f t="shared" si="0"/>
        <v>4.5811120000000009E-3</v>
      </c>
      <c r="U26" s="9">
        <f t="shared" si="6"/>
        <v>467.82298136645966</v>
      </c>
      <c r="V26" s="9">
        <f t="shared" si="7"/>
        <v>2.3246203695592382E-2</v>
      </c>
      <c r="W26" s="9">
        <f t="shared" si="8"/>
        <v>2.7599520605740939</v>
      </c>
      <c r="X26" s="9">
        <f t="shared" si="9"/>
        <v>1.1837854970855604</v>
      </c>
      <c r="Y26" s="9">
        <f t="shared" si="10"/>
        <v>2.7662128589600004E-5</v>
      </c>
      <c r="Z26" s="9">
        <f t="shared" si="11"/>
        <v>0.30735969875776403</v>
      </c>
      <c r="AA26" s="9">
        <f t="shared" si="12"/>
        <v>1.0727125076651963E-3</v>
      </c>
      <c r="AB26" s="9">
        <f t="shared" si="13"/>
        <v>6.6989556414254418E-3</v>
      </c>
      <c r="AC26" s="9">
        <f t="shared" si="14"/>
        <v>0.7058232654860761</v>
      </c>
      <c r="AD26" s="9">
        <f t="shared" si="15"/>
        <v>1.6058813249280002E-7</v>
      </c>
      <c r="AE26" s="9">
        <f t="shared" si="16"/>
        <v>1.1255820931677018E-2</v>
      </c>
      <c r="AF26" s="9">
        <f t="shared" si="17"/>
        <v>1.0215423700646183E-4</v>
      </c>
      <c r="AG26" s="9">
        <f t="shared" si="18"/>
        <v>1.1542367585344802E-2</v>
      </c>
      <c r="AH26" s="9">
        <f t="shared" si="19"/>
        <v>8.3652065882679778E-3</v>
      </c>
      <c r="AI26" s="9">
        <f t="shared" si="20"/>
        <v>1.1613941565197939E-7</v>
      </c>
      <c r="AJ26" s="9">
        <f t="shared" si="21"/>
        <v>1.336456176323031E-3</v>
      </c>
      <c r="AK26" s="9">
        <f t="shared" si="22"/>
        <v>2.1030641290909091E-2</v>
      </c>
      <c r="AL26" s="9">
        <f t="shared" si="23"/>
        <v>2.3762439958300328</v>
      </c>
      <c r="AM26" s="9">
        <f t="shared" si="24"/>
        <v>1.7221572422011731</v>
      </c>
      <c r="AN26" s="9">
        <f t="shared" si="25"/>
        <v>2.3909790351212456E-5</v>
      </c>
      <c r="AO26" s="9">
        <f t="shared" si="26"/>
        <v>0.27513817604542162</v>
      </c>
      <c r="AP26" s="9">
        <f t="shared" si="46"/>
        <v>2.1030641290909091E-2</v>
      </c>
      <c r="AQ26" s="9">
        <f t="shared" si="29"/>
        <v>2.3762439958300328</v>
      </c>
      <c r="AR26" s="9">
        <f t="shared" si="47"/>
        <v>1.7221572422011731</v>
      </c>
      <c r="AS26" s="9">
        <f t="shared" si="31"/>
        <v>2.3909790351212456E-5</v>
      </c>
      <c r="AT26" s="9">
        <f t="shared" si="55"/>
        <v>0.2739367165473558</v>
      </c>
      <c r="AU26">
        <f>$AU$25+(($AU$30-$AU$25)/($D$30-$D$25))*(D26-$D$25)</f>
        <v>2.2666380850078278E-2</v>
      </c>
      <c r="AV26">
        <f>$AV$25+(($AV$30-$AV$25)/($D$30-$D$25))*(D26-$D$25)</f>
        <v>3.3100127192672826</v>
      </c>
      <c r="AW26">
        <f>$AW$25+(($AW$30-$AW$25)/($D$30-$D$25))*(D26-$D$25)</f>
        <v>1.762714929872687</v>
      </c>
      <c r="AX26">
        <f>$AX$25+(($AX$30-$AX$25)/($D$30-$D$25))*(D26-$D$25)</f>
        <v>2.7544521608241868E-5</v>
      </c>
      <c r="AY26">
        <f>$AY$25+(($AY$30-$AY$25)/($D$30-$D$25))*(D26-$D$25)</f>
        <v>0.28583092277441458</v>
      </c>
      <c r="AZ26">
        <f t="shared" si="48"/>
        <v>0.92783410946862577</v>
      </c>
      <c r="BA26">
        <f t="shared" si="49"/>
        <v>0.71789572952337399</v>
      </c>
      <c r="BB26">
        <f t="shared" si="34"/>
        <v>0.97699135181521202</v>
      </c>
      <c r="BC26">
        <f t="shared" si="45"/>
        <v>0.86804159067544562</v>
      </c>
      <c r="BD26">
        <f t="shared" si="36"/>
        <v>0.9583872657597442</v>
      </c>
      <c r="BF26" s="9"/>
      <c r="BG26" s="10">
        <v>140.00000000000006</v>
      </c>
      <c r="BH26">
        <v>1.0056021869705836</v>
      </c>
    </row>
    <row r="27" spans="2:60" x14ac:dyDescent="0.25">
      <c r="B27" t="s">
        <v>110</v>
      </c>
      <c r="C27" s="9" t="s">
        <v>117</v>
      </c>
      <c r="D27" s="10">
        <f t="shared" si="37"/>
        <v>300.99999999999994</v>
      </c>
      <c r="E27" s="8">
        <f t="shared" si="50"/>
        <v>0.20902777777777776</v>
      </c>
      <c r="F27" s="8">
        <v>0.62569444444444444</v>
      </c>
      <c r="G27" s="9">
        <v>10.0617</v>
      </c>
      <c r="H27" s="9">
        <v>19.0303</v>
      </c>
      <c r="I27" s="9">
        <v>14.847200000000001</v>
      </c>
      <c r="J27" s="9">
        <f t="shared" si="1"/>
        <v>4.1830999999999996</v>
      </c>
      <c r="K27" s="9">
        <f t="shared" si="2"/>
        <v>4.7855000000000008</v>
      </c>
      <c r="L27" s="1">
        <v>136267</v>
      </c>
      <c r="M27" s="1">
        <v>21334</v>
      </c>
      <c r="N27" s="1">
        <v>46021188</v>
      </c>
      <c r="O27" s="1">
        <v>1063235</v>
      </c>
      <c r="P27" s="1">
        <v>2454960</v>
      </c>
      <c r="Q27" s="9">
        <f t="shared" si="3"/>
        <v>18.070204031740534</v>
      </c>
      <c r="R27" s="9">
        <f t="shared" si="4"/>
        <v>4618.5185185185192</v>
      </c>
      <c r="S27" s="9">
        <f t="shared" si="5"/>
        <v>661.04831947906007</v>
      </c>
      <c r="T27" s="9">
        <f t="shared" si="0"/>
        <v>4.3529400000000005E-3</v>
      </c>
      <c r="U27" s="9">
        <f t="shared" si="6"/>
        <v>468.5128796250429</v>
      </c>
      <c r="V27" s="9">
        <f t="shared" si="7"/>
        <v>2.2372719611697955E-2</v>
      </c>
      <c r="W27" s="9">
        <f t="shared" si="8"/>
        <v>2.8161698283649508</v>
      </c>
      <c r="X27" s="9">
        <f t="shared" si="9"/>
        <v>1.1954397809459323</v>
      </c>
      <c r="Y27" s="9">
        <f t="shared" si="10"/>
        <v>2.6284357602000001E-5</v>
      </c>
      <c r="Z27" s="9">
        <f t="shared" si="11"/>
        <v>0.3078129619136532</v>
      </c>
      <c r="AA27" s="9">
        <f t="shared" si="12"/>
        <v>1.0324049669454317E-3</v>
      </c>
      <c r="AB27" s="9">
        <f t="shared" si="13"/>
        <v>6.835407407407409E-3</v>
      </c>
      <c r="AC27" s="9">
        <f t="shared" si="14"/>
        <v>0.71277204523669913</v>
      </c>
      <c r="AD27" s="9">
        <f t="shared" si="15"/>
        <v>1.5258969993600001E-7</v>
      </c>
      <c r="AE27" s="9">
        <f t="shared" si="16"/>
        <v>1.1272419883778532E-2</v>
      </c>
      <c r="AF27" s="9">
        <f t="shared" si="17"/>
        <v>9.8527897377011079E-5</v>
      </c>
      <c r="AG27" s="9">
        <f t="shared" si="18"/>
        <v>1.1813030851181572E-2</v>
      </c>
      <c r="AH27" s="9">
        <f t="shared" si="19"/>
        <v>8.4116147701551527E-3</v>
      </c>
      <c r="AI27" s="9">
        <f t="shared" si="20"/>
        <v>1.1068031429396991E-7</v>
      </c>
      <c r="AJ27" s="9">
        <f t="shared" si="21"/>
        <v>1.3415565663348248E-3</v>
      </c>
      <c r="AK27" s="9">
        <f t="shared" si="22"/>
        <v>2.0588840743289327E-2</v>
      </c>
      <c r="AL27" s="9">
        <f t="shared" si="23"/>
        <v>2.4685050362932963</v>
      </c>
      <c r="AM27" s="9">
        <f t="shared" si="24"/>
        <v>1.757729551803396</v>
      </c>
      <c r="AN27" s="9">
        <f t="shared" si="25"/>
        <v>2.3128265446446534E-5</v>
      </c>
      <c r="AO27" s="9">
        <f t="shared" si="26"/>
        <v>0.28033780510601286</v>
      </c>
      <c r="AP27" s="9">
        <f t="shared" si="46"/>
        <v>2.0588840743289327E-2</v>
      </c>
      <c r="AQ27" s="9">
        <f t="shared" si="29"/>
        <v>2.4685050362932963</v>
      </c>
      <c r="AR27" s="9">
        <f t="shared" si="47"/>
        <v>1.757729551803396</v>
      </c>
      <c r="AS27" s="9">
        <f t="shared" si="31"/>
        <v>2.3128265446446534E-5</v>
      </c>
      <c r="AT27" s="9">
        <f t="shared" si="55"/>
        <v>0.27913634560794703</v>
      </c>
      <c r="AU27">
        <f t="shared" ref="AU27:AU29" si="62">$AU$25+(($AU$30-$AU$25)/($D$30-$D$25))*(D27-$D$25)</f>
        <v>2.1932094149951852E-2</v>
      </c>
      <c r="AV27">
        <f t="shared" ref="AV27:AV29" si="63">$AV$25+(($AV$30-$AV$25)/($D$30-$D$25))*(D27-$D$25)</f>
        <v>3.1210337720002768</v>
      </c>
      <c r="AW27">
        <f t="shared" ref="AW27:AW29" si="64">$AW$25+(($AW$30-$AW$25)/($D$30-$D$25))*(D27-$D$25)</f>
        <v>1.7505134416038257</v>
      </c>
      <c r="AX27">
        <f t="shared" ref="AX27:AX29" si="65">$AX$25+(($AX$30-$AX$25)/($D$30-$D$25))*(D27-$D$25)</f>
        <v>2.7294833277591621E-5</v>
      </c>
      <c r="AY27">
        <f t="shared" ref="AY27:AY29" si="66">$AY$25+(($AY$30-$AY$25)/($D$30-$D$25))*(D27-$D$25)</f>
        <v>0.27978317654094864</v>
      </c>
      <c r="AZ27">
        <f t="shared" si="48"/>
        <v>0.93875398320476955</v>
      </c>
      <c r="BA27">
        <f t="shared" si="49"/>
        <v>0.79092544862506453</v>
      </c>
      <c r="BB27">
        <f t="shared" si="34"/>
        <v>1.0041222820848259</v>
      </c>
      <c r="BC27">
        <f t="shared" si="45"/>
        <v>0.84734957752734341</v>
      </c>
      <c r="BD27">
        <f t="shared" si="36"/>
        <v>0.99768809925958168</v>
      </c>
      <c r="BF27" s="9"/>
      <c r="BG27" s="10">
        <v>160</v>
      </c>
      <c r="BH27">
        <v>1.0287865194835588</v>
      </c>
    </row>
    <row r="28" spans="2:60" x14ac:dyDescent="0.25">
      <c r="B28" t="s">
        <v>111</v>
      </c>
      <c r="C28" s="9" t="s">
        <v>117</v>
      </c>
      <c r="D28" s="10">
        <f t="shared" si="37"/>
        <v>332</v>
      </c>
      <c r="E28" s="8">
        <f>F28-$F$3</f>
        <v>0.23055555555555557</v>
      </c>
      <c r="F28" s="8">
        <v>0.64722222222222225</v>
      </c>
      <c r="G28" s="9">
        <v>9.9103999999999992</v>
      </c>
      <c r="H28" s="9">
        <v>18.805800000000001</v>
      </c>
      <c r="I28" s="9">
        <v>14.848000000000001</v>
      </c>
      <c r="J28" s="9">
        <f t="shared" si="1"/>
        <v>3.9578000000000007</v>
      </c>
      <c r="K28" s="9">
        <f t="shared" si="2"/>
        <v>4.9376000000000015</v>
      </c>
      <c r="L28" s="1">
        <v>158710</v>
      </c>
      <c r="M28" s="1">
        <v>22766</v>
      </c>
      <c r="N28" s="1">
        <v>47887655</v>
      </c>
      <c r="O28" s="1">
        <v>1238200</v>
      </c>
      <c r="P28" s="1">
        <v>2603024</v>
      </c>
      <c r="Q28" s="9">
        <f t="shared" si="3"/>
        <v>20.356317038636664</v>
      </c>
      <c r="R28" s="9">
        <f t="shared" si="4"/>
        <v>4942.1123991593795</v>
      </c>
      <c r="S28" s="9">
        <f t="shared" si="5"/>
        <v>687.93761975422467</v>
      </c>
      <c r="T28" s="9">
        <f t="shared" si="0"/>
        <v>5.0528000000000005E-3</v>
      </c>
      <c r="U28" s="9">
        <f t="shared" si="6"/>
        <v>496.72306900887855</v>
      </c>
      <c r="V28" s="9">
        <f t="shared" si="7"/>
        <v>2.5203156125536055E-2</v>
      </c>
      <c r="W28" s="9">
        <f t="shared" si="8"/>
        <v>3.0134831702191334</v>
      </c>
      <c r="X28" s="9">
        <f t="shared" si="9"/>
        <v>1.2440663915635399</v>
      </c>
      <c r="Y28" s="9">
        <f t="shared" si="10"/>
        <v>3.0510322239999998E-5</v>
      </c>
      <c r="Z28" s="9">
        <f t="shared" si="11"/>
        <v>0.32634705633883321</v>
      </c>
      <c r="AA28" s="9">
        <f t="shared" si="12"/>
        <v>1.1630174613684286E-3</v>
      </c>
      <c r="AB28" s="9">
        <f t="shared" si="13"/>
        <v>7.3143263507558813E-3</v>
      </c>
      <c r="AC28" s="9">
        <f t="shared" si="14"/>
        <v>0.74176529881189401</v>
      </c>
      <c r="AD28" s="9">
        <f t="shared" si="15"/>
        <v>1.7712287232000005E-7</v>
      </c>
      <c r="AE28" s="9">
        <f t="shared" si="16"/>
        <v>1.1951157040353618E-2</v>
      </c>
      <c r="AF28" s="9">
        <f t="shared" si="17"/>
        <v>1.0549156633089937E-4</v>
      </c>
      <c r="AG28" s="9">
        <f t="shared" si="18"/>
        <v>1.1962878908882781E-2</v>
      </c>
      <c r="AH28" s="9">
        <f t="shared" si="19"/>
        <v>8.5863063039437887E-3</v>
      </c>
      <c r="AI28" s="9">
        <f t="shared" si="20"/>
        <v>1.2162831525583925E-7</v>
      </c>
      <c r="AJ28" s="9">
        <f t="shared" si="21"/>
        <v>1.3506264125802846E-3</v>
      </c>
      <c r="AK28" s="9">
        <f t="shared" si="22"/>
        <v>2.1364947814909944E-2</v>
      </c>
      <c r="AL28" s="9">
        <f t="shared" si="23"/>
        <v>2.4228124815462531</v>
      </c>
      <c r="AM28" s="9">
        <f t="shared" si="24"/>
        <v>1.7389635255880969</v>
      </c>
      <c r="AN28" s="9">
        <f t="shared" si="25"/>
        <v>2.4633083938723105E-5</v>
      </c>
      <c r="AO28" s="9">
        <f t="shared" si="26"/>
        <v>0.27353904985828831</v>
      </c>
      <c r="AP28" s="9">
        <f t="shared" si="46"/>
        <v>2.1364947814909944E-2</v>
      </c>
      <c r="AQ28" s="9">
        <f t="shared" si="29"/>
        <v>2.4228124815462531</v>
      </c>
      <c r="AR28" s="9">
        <f t="shared" si="47"/>
        <v>1.7389635255880969</v>
      </c>
      <c r="AS28" s="9">
        <f t="shared" si="31"/>
        <v>2.4633083938723105E-5</v>
      </c>
      <c r="AT28" s="9">
        <f t="shared" si="55"/>
        <v>0.27233759036022248</v>
      </c>
      <c r="AU28">
        <f t="shared" si="62"/>
        <v>2.114716698774774E-2</v>
      </c>
      <c r="AV28">
        <f t="shared" si="63"/>
        <v>2.9190217938872705</v>
      </c>
      <c r="AW28">
        <f t="shared" si="64"/>
        <v>1.7374704713853877</v>
      </c>
      <c r="AX28">
        <f t="shared" si="65"/>
        <v>2.7027925062068946E-5</v>
      </c>
      <c r="AY28">
        <f t="shared" si="66"/>
        <v>0.27331834436034713</v>
      </c>
      <c r="AZ28">
        <f t="shared" si="48"/>
        <v>1.010298345271893</v>
      </c>
      <c r="BA28">
        <f t="shared" si="49"/>
        <v>0.83000835643634785</v>
      </c>
      <c r="BB28">
        <f t="shared" si="34"/>
        <v>1.0008593263754972</v>
      </c>
      <c r="BC28">
        <f t="shared" si="45"/>
        <v>0.91139382257993728</v>
      </c>
      <c r="BD28">
        <f t="shared" si="36"/>
        <v>0.99641167883399873</v>
      </c>
      <c r="BG28" s="10">
        <v>179.99999999999991</v>
      </c>
      <c r="BH28">
        <v>1.0791637024741128</v>
      </c>
    </row>
    <row r="29" spans="2:60" x14ac:dyDescent="0.25">
      <c r="B29" t="s">
        <v>112</v>
      </c>
      <c r="C29" s="9" t="s">
        <v>117</v>
      </c>
      <c r="D29" s="10">
        <f t="shared" si="37"/>
        <v>360.99999999999994</v>
      </c>
      <c r="E29" s="8">
        <f t="shared" ref="E29:E37" si="67">F29-$F$3</f>
        <v>0.25069444444444439</v>
      </c>
      <c r="F29" s="8">
        <v>0.66736111111111107</v>
      </c>
      <c r="G29" s="9">
        <v>9.9871999999999996</v>
      </c>
      <c r="H29" s="9">
        <v>18.9191</v>
      </c>
      <c r="I29" s="9">
        <v>15.0326</v>
      </c>
      <c r="J29" s="9">
        <f t="shared" si="1"/>
        <v>3.8864999999999998</v>
      </c>
      <c r="K29" s="9">
        <f t="shared" si="2"/>
        <v>5.0454000000000008</v>
      </c>
      <c r="L29" s="1">
        <v>162840</v>
      </c>
      <c r="M29" s="1">
        <v>23855</v>
      </c>
      <c r="N29" s="1">
        <v>49782118</v>
      </c>
      <c r="O29" s="1">
        <v>1192249</v>
      </c>
      <c r="P29" s="1">
        <v>2710816</v>
      </c>
      <c r="Q29" s="9">
        <f t="shared" si="3"/>
        <v>20.77701154108647</v>
      </c>
      <c r="R29" s="9">
        <f t="shared" si="4"/>
        <v>5188.1974103450621</v>
      </c>
      <c r="S29" s="9">
        <f t="shared" si="5"/>
        <v>715.23024505496085</v>
      </c>
      <c r="T29" s="9">
        <f t="shared" si="0"/>
        <v>4.8689960000000004E-3</v>
      </c>
      <c r="U29" s="9">
        <f t="shared" si="6"/>
        <v>517.26035514232365</v>
      </c>
      <c r="V29" s="9">
        <f t="shared" si="7"/>
        <v>2.5724017989019157E-2</v>
      </c>
      <c r="W29" s="9">
        <f t="shared" si="8"/>
        <v>3.1635350063079644</v>
      </c>
      <c r="X29" s="9">
        <f t="shared" si="9"/>
        <v>1.2934223751573912</v>
      </c>
      <c r="Y29" s="9">
        <f t="shared" si="10"/>
        <v>2.9400458546799997E-5</v>
      </c>
      <c r="Z29" s="9">
        <f t="shared" si="11"/>
        <v>0.33984005332850664</v>
      </c>
      <c r="AA29" s="9">
        <f t="shared" si="12"/>
        <v>1.1870530003768934E-3</v>
      </c>
      <c r="AB29" s="9">
        <f t="shared" si="13"/>
        <v>7.6785321673106914E-3</v>
      </c>
      <c r="AC29" s="9">
        <f t="shared" si="14"/>
        <v>0.77119343557928632</v>
      </c>
      <c r="AD29" s="9">
        <f t="shared" si="15"/>
        <v>1.7067973338240004E-7</v>
      </c>
      <c r="AE29" s="9">
        <f t="shared" si="16"/>
        <v>1.2445284144724306E-2</v>
      </c>
      <c r="AF29" s="9">
        <f t="shared" si="17"/>
        <v>1.0596555312242454E-4</v>
      </c>
      <c r="AG29" s="9">
        <f t="shared" si="18"/>
        <v>1.2333820068212853E-2</v>
      </c>
      <c r="AH29" s="9">
        <f t="shared" si="19"/>
        <v>8.9178654209209323E-3</v>
      </c>
      <c r="AI29" s="9">
        <f t="shared" si="20"/>
        <v>1.1512602966894575E-7</v>
      </c>
      <c r="AJ29" s="9">
        <f t="shared" si="21"/>
        <v>1.383579803885033E-3</v>
      </c>
      <c r="AK29" s="9">
        <f t="shared" si="22"/>
        <v>2.1002408753007597E-2</v>
      </c>
      <c r="AL29" s="9">
        <f t="shared" si="23"/>
        <v>2.4445673421756156</v>
      </c>
      <c r="AM29" s="9">
        <f t="shared" si="24"/>
        <v>1.7675239665677509</v>
      </c>
      <c r="AN29" s="9">
        <f t="shared" si="25"/>
        <v>2.2818018327376564E-5</v>
      </c>
      <c r="AO29" s="9">
        <f t="shared" si="26"/>
        <v>0.27422598879871424</v>
      </c>
      <c r="AP29" s="9">
        <f t="shared" si="46"/>
        <v>2.1002408753007597E-2</v>
      </c>
      <c r="AQ29" s="9">
        <f t="shared" si="29"/>
        <v>2.4445673421756156</v>
      </c>
      <c r="AR29" s="9">
        <f t="shared" si="47"/>
        <v>1.7675239665677509</v>
      </c>
      <c r="AS29" s="9">
        <f t="shared" si="31"/>
        <v>2.2818018327376564E-5</v>
      </c>
      <c r="AT29" s="9">
        <f t="shared" si="55"/>
        <v>0.27302452930064841</v>
      </c>
      <c r="AU29">
        <f t="shared" si="62"/>
        <v>2.0412880287621313E-2</v>
      </c>
      <c r="AV29">
        <f t="shared" si="63"/>
        <v>2.7300428466202655</v>
      </c>
      <c r="AW29">
        <f t="shared" si="64"/>
        <v>1.7252689831165262</v>
      </c>
      <c r="AX29">
        <f t="shared" si="65"/>
        <v>2.6778236731418699E-5</v>
      </c>
      <c r="AY29">
        <f t="shared" si="66"/>
        <v>0.2672705981268812</v>
      </c>
      <c r="AZ29">
        <f t="shared" si="48"/>
        <v>1.028880219600552</v>
      </c>
      <c r="BA29">
        <f t="shared" si="49"/>
        <v>0.89543185932115954</v>
      </c>
      <c r="BB29">
        <f t="shared" si="34"/>
        <v>1.0244918235154818</v>
      </c>
      <c r="BC29">
        <f t="shared" ref="BC29:BC37" si="68">AS29/AX29</f>
        <v>0.85211056113356254</v>
      </c>
      <c r="BD29">
        <f t="shared" si="36"/>
        <v>1.0215284854155027</v>
      </c>
      <c r="BF29" s="9"/>
      <c r="BG29" s="10">
        <v>211.99999999999997</v>
      </c>
      <c r="BH29">
        <v>1.0143947347169506</v>
      </c>
    </row>
    <row r="30" spans="2:60" s="4" customFormat="1" x14ac:dyDescent="0.25">
      <c r="B30" s="4" t="s">
        <v>113</v>
      </c>
      <c r="C30" s="5" t="s">
        <v>45</v>
      </c>
      <c r="D30" s="6">
        <f t="shared" si="37"/>
        <v>362.00000000000006</v>
      </c>
      <c r="E30" s="7">
        <f t="shared" si="67"/>
        <v>0.25138888888888894</v>
      </c>
      <c r="F30" s="7">
        <v>0.66805555555555562</v>
      </c>
      <c r="G30" s="5">
        <v>10.0595</v>
      </c>
      <c r="H30" s="5">
        <v>19.0809</v>
      </c>
      <c r="I30" s="5">
        <v>15.855700000000001</v>
      </c>
      <c r="J30" s="5">
        <f t="shared" si="1"/>
        <v>3.2251999999999992</v>
      </c>
      <c r="K30" s="5">
        <f t="shared" si="2"/>
        <v>5.7962000000000007</v>
      </c>
      <c r="L30" s="1">
        <v>227144</v>
      </c>
      <c r="M30" s="1">
        <v>36264</v>
      </c>
      <c r="N30" s="1">
        <v>57572601</v>
      </c>
      <c r="O30" s="1">
        <v>1946273</v>
      </c>
      <c r="P30" s="1">
        <v>3609565</v>
      </c>
      <c r="Q30" s="5">
        <f t="shared" si="3"/>
        <v>27.327214757922398</v>
      </c>
      <c r="R30" s="5">
        <f t="shared" si="4"/>
        <v>7992.3010869319596</v>
      </c>
      <c r="S30" s="5">
        <f t="shared" si="5"/>
        <v>827.46401970812383</v>
      </c>
      <c r="T30" s="5">
        <f t="shared" si="0"/>
        <v>7.8850919999999998E-3</v>
      </c>
      <c r="U30" s="5">
        <f t="shared" si="6"/>
        <v>688.4963037762451</v>
      </c>
      <c r="V30" s="5">
        <f t="shared" si="7"/>
        <v>3.3833824591783718E-2</v>
      </c>
      <c r="W30" s="5">
        <f t="shared" si="8"/>
        <v>4.873354321299975</v>
      </c>
      <c r="X30" s="5">
        <f t="shared" si="9"/>
        <v>1.496385933240171</v>
      </c>
      <c r="Y30" s="5">
        <f t="shared" si="10"/>
        <v>4.7612551023599996E-5</v>
      </c>
      <c r="Z30" s="5">
        <f t="shared" si="11"/>
        <v>0.45234207158099304</v>
      </c>
      <c r="AA30" s="5">
        <f t="shared" si="12"/>
        <v>1.5612857607643802E-3</v>
      </c>
      <c r="AB30" s="5">
        <f t="shared" si="13"/>
        <v>1.1828605608659301E-2</v>
      </c>
      <c r="AC30" s="5">
        <f t="shared" si="14"/>
        <v>0.89220894193018585</v>
      </c>
      <c r="AD30" s="5">
        <f t="shared" si="15"/>
        <v>2.764071690048E-7</v>
      </c>
      <c r="AE30" s="5">
        <f t="shared" si="16"/>
        <v>1.6565221068856457E-2</v>
      </c>
      <c r="AF30" s="5">
        <f t="shared" si="17"/>
        <v>1.1817037559996331E-4</v>
      </c>
      <c r="AG30" s="5">
        <f t="shared" si="18"/>
        <v>1.5786103320885588E-2</v>
      </c>
      <c r="AH30" s="5">
        <f t="shared" si="19"/>
        <v>9.9975653811019416E-3</v>
      </c>
      <c r="AI30" s="5">
        <f t="shared" si="20"/>
        <v>1.5516211079430027E-7</v>
      </c>
      <c r="AJ30" s="5">
        <f t="shared" si="21"/>
        <v>1.5549089836223242E-3</v>
      </c>
      <c r="AK30" s="5">
        <f t="shared" si="22"/>
        <v>2.0387560056582467E-2</v>
      </c>
      <c r="AL30" s="5">
        <f t="shared" si="23"/>
        <v>2.7235263311972648</v>
      </c>
      <c r="AM30" s="5">
        <f t="shared" si="24"/>
        <v>1.7248482421417379</v>
      </c>
      <c r="AN30" s="5">
        <f t="shared" si="25"/>
        <v>2.6769626788982482E-5</v>
      </c>
      <c r="AO30" s="5">
        <f t="shared" si="26"/>
        <v>0.26826351465137921</v>
      </c>
      <c r="AP30" s="5">
        <f t="shared" si="46"/>
        <v>2.0387560056582467E-2</v>
      </c>
      <c r="AQ30" s="5">
        <f t="shared" si="29"/>
        <v>2.7235263311972648</v>
      </c>
      <c r="AR30" s="5">
        <f t="shared" si="47"/>
        <v>1.7248482421417379</v>
      </c>
      <c r="AS30" s="5">
        <f t="shared" si="31"/>
        <v>2.6769626788982482E-5</v>
      </c>
      <c r="AT30" s="5">
        <f t="shared" si="55"/>
        <v>0.26706205515331338</v>
      </c>
      <c r="AU30" s="4">
        <f>AP30</f>
        <v>2.0387560056582467E-2</v>
      </c>
      <c r="AV30" s="4">
        <f t="shared" ref="AV30:AY30" si="69">AQ30</f>
        <v>2.7235263311972648</v>
      </c>
      <c r="AW30" s="4">
        <f t="shared" si="69"/>
        <v>1.7248482421417379</v>
      </c>
      <c r="AX30" s="4">
        <f t="shared" si="69"/>
        <v>2.6769626788982482E-5</v>
      </c>
      <c r="AY30" s="4">
        <f t="shared" si="69"/>
        <v>0.26706205515331338</v>
      </c>
      <c r="AZ30" s="4">
        <f t="shared" si="48"/>
        <v>1</v>
      </c>
      <c r="BA30" s="4">
        <f t="shared" si="49"/>
        <v>1</v>
      </c>
      <c r="BB30" s="4">
        <f t="shared" si="34"/>
        <v>1</v>
      </c>
      <c r="BC30" s="4">
        <f t="shared" si="68"/>
        <v>1</v>
      </c>
      <c r="BD30" s="4">
        <f t="shared" si="36"/>
        <v>1</v>
      </c>
      <c r="BG30" s="10">
        <v>241.00000000000003</v>
      </c>
      <c r="BH30">
        <v>1.0501333388247651</v>
      </c>
    </row>
    <row r="31" spans="2:60" x14ac:dyDescent="0.25">
      <c r="B31" t="s">
        <v>114</v>
      </c>
      <c r="C31" s="9" t="s">
        <v>117</v>
      </c>
      <c r="D31" s="10">
        <f t="shared" si="37"/>
        <v>390</v>
      </c>
      <c r="E31" s="8">
        <f t="shared" si="67"/>
        <v>0.27083333333333331</v>
      </c>
      <c r="F31" s="8">
        <v>0.6875</v>
      </c>
      <c r="G31" s="9">
        <v>10.099399999999999</v>
      </c>
      <c r="H31" s="9">
        <v>19.010200000000001</v>
      </c>
      <c r="I31" s="9">
        <v>15.332100000000001</v>
      </c>
      <c r="J31" s="9">
        <f t="shared" si="1"/>
        <v>3.6781000000000006</v>
      </c>
      <c r="K31" s="9">
        <f t="shared" si="2"/>
        <v>5.2327000000000012</v>
      </c>
      <c r="L31" s="1">
        <v>176099</v>
      </c>
      <c r="M31" s="1">
        <v>25563</v>
      </c>
      <c r="N31" s="1">
        <v>49165861</v>
      </c>
      <c r="O31" s="1">
        <v>1494064</v>
      </c>
      <c r="P31" s="1">
        <v>2935018</v>
      </c>
      <c r="Q31" s="9">
        <f t="shared" si="3"/>
        <v>22.127614061178964</v>
      </c>
      <c r="R31" s="9">
        <f t="shared" si="4"/>
        <v>5574.1599439586016</v>
      </c>
      <c r="S31" s="9">
        <f t="shared" si="5"/>
        <v>706.3521242418567</v>
      </c>
      <c r="T31" s="9">
        <f t="shared" si="0"/>
        <v>6.0762560000000004E-3</v>
      </c>
      <c r="U31" s="9">
        <f t="shared" si="6"/>
        <v>559.97688907518193</v>
      </c>
      <c r="V31" s="9">
        <f t="shared" si="7"/>
        <v>2.7396198969145677E-2</v>
      </c>
      <c r="W31" s="9">
        <f t="shared" si="8"/>
        <v>3.3988780146089033</v>
      </c>
      <c r="X31" s="9">
        <f t="shared" si="9"/>
        <v>1.2773671814789735</v>
      </c>
      <c r="Y31" s="9">
        <f t="shared" si="10"/>
        <v>3.66902566048E-5</v>
      </c>
      <c r="Z31" s="9">
        <f t="shared" si="11"/>
        <v>0.36790481612239456</v>
      </c>
      <c r="AA31" s="9">
        <f t="shared" si="12"/>
        <v>1.2642169741573378E-3</v>
      </c>
      <c r="AB31" s="9">
        <f t="shared" si="13"/>
        <v>8.2497567170587306E-3</v>
      </c>
      <c r="AC31" s="9">
        <f t="shared" si="14"/>
        <v>0.76162064620316072</v>
      </c>
      <c r="AD31" s="9">
        <f t="shared" si="15"/>
        <v>2.1299950832640002E-7</v>
      </c>
      <c r="AE31" s="9">
        <f t="shared" si="16"/>
        <v>1.3473043951148877E-2</v>
      </c>
      <c r="AF31" s="9">
        <f t="shared" si="17"/>
        <v>1.0738122758908784E-4</v>
      </c>
      <c r="AG31" s="9">
        <f t="shared" si="18"/>
        <v>1.2544581727506362E-2</v>
      </c>
      <c r="AH31" s="9">
        <f t="shared" si="19"/>
        <v>8.6836165855850925E-3</v>
      </c>
      <c r="AI31" s="9">
        <f t="shared" si="20"/>
        <v>1.3606499534533446E-7</v>
      </c>
      <c r="AJ31" s="9">
        <f t="shared" si="21"/>
        <v>1.4236911012629565E-3</v>
      </c>
      <c r="AK31" s="9">
        <f t="shared" si="22"/>
        <v>2.052118936478067E-2</v>
      </c>
      <c r="AL31" s="9">
        <f t="shared" si="23"/>
        <v>2.3973439577094728</v>
      </c>
      <c r="AM31" s="9">
        <f t="shared" si="24"/>
        <v>1.6594906234993581</v>
      </c>
      <c r="AN31" s="9">
        <f t="shared" si="25"/>
        <v>2.600282747823006E-5</v>
      </c>
      <c r="AO31" s="9">
        <f t="shared" si="26"/>
        <v>0.27207581196379615</v>
      </c>
      <c r="AP31" s="9">
        <f t="shared" si="46"/>
        <v>2.052118936478067E-2</v>
      </c>
      <c r="AQ31" s="9">
        <f t="shared" si="29"/>
        <v>2.3973439577094728</v>
      </c>
      <c r="AR31" s="9">
        <f t="shared" si="47"/>
        <v>1.6594906234993581</v>
      </c>
      <c r="AS31" s="9">
        <f t="shared" si="31"/>
        <v>2.600282747823006E-5</v>
      </c>
      <c r="AT31" s="9">
        <f t="shared" si="55"/>
        <v>0.27087435246573033</v>
      </c>
      <c r="AU31">
        <f>$AU$30+(($AU$34-$AU$30)/($D$34-$D$30))*(D31-$D$30)</f>
        <v>2.0959246535198112E-2</v>
      </c>
      <c r="AV31">
        <f>$AV$30+(($AV$34-$AV$30)/($D$34-$D$30))*(D31-$D$30)</f>
        <v>2.7297097897606477</v>
      </c>
      <c r="AW31">
        <f>$AW$30+(($AW$34-$AW$30)/($D$34-$D$30))*(D31-$D$30)</f>
        <v>1.7314374810017996</v>
      </c>
      <c r="AX31">
        <f>$AX$30+(($AX$34-$AX$30)/($D$34-$D$30))*(D31-$D$30)</f>
        <v>2.6537479495806115E-5</v>
      </c>
      <c r="AY31">
        <f>$AY$30+(($AY$34-$AY$30)/($D$34-$D$30))*(D31-$D$30)</f>
        <v>0.26926484802064299</v>
      </c>
      <c r="AZ31">
        <f t="shared" si="48"/>
        <v>0.97909957451563023</v>
      </c>
      <c r="BA31">
        <f t="shared" si="49"/>
        <v>0.87824133052608566</v>
      </c>
      <c r="BB31">
        <f t="shared" si="34"/>
        <v>0.95844674827022136</v>
      </c>
      <c r="BC31">
        <f t="shared" si="68"/>
        <v>0.97985294655958</v>
      </c>
      <c r="BD31">
        <f t="shared" si="36"/>
        <v>1.0059774027576149</v>
      </c>
      <c r="BF31" s="9"/>
      <c r="BG31" s="10">
        <v>271.99999999999989</v>
      </c>
      <c r="BH31">
        <v>0.97098937269114283</v>
      </c>
    </row>
    <row r="32" spans="2:60" x14ac:dyDescent="0.25">
      <c r="B32" t="s">
        <v>115</v>
      </c>
      <c r="C32" s="9" t="s">
        <v>117</v>
      </c>
      <c r="D32" s="10">
        <f t="shared" si="37"/>
        <v>420</v>
      </c>
      <c r="E32" s="8">
        <f t="shared" si="67"/>
        <v>0.29166666666666669</v>
      </c>
      <c r="F32" s="8">
        <v>0.70833333333333337</v>
      </c>
      <c r="G32" s="9">
        <v>9.9954000000000001</v>
      </c>
      <c r="H32" s="9">
        <v>19.0029</v>
      </c>
      <c r="I32" s="9">
        <v>14.635899999999999</v>
      </c>
      <c r="J32" s="9">
        <f t="shared" si="1"/>
        <v>4.3670000000000009</v>
      </c>
      <c r="K32" s="9">
        <f t="shared" si="2"/>
        <v>4.6404999999999994</v>
      </c>
      <c r="L32" s="1">
        <v>142223</v>
      </c>
      <c r="M32" s="1">
        <v>20682</v>
      </c>
      <c r="N32" s="1">
        <v>42830742</v>
      </c>
      <c r="O32" s="1">
        <v>1090407</v>
      </c>
      <c r="P32" s="1">
        <v>2321611</v>
      </c>
      <c r="Q32" s="9">
        <f t="shared" si="3"/>
        <v>18.676900510334008</v>
      </c>
      <c r="R32" s="9">
        <f t="shared" si="4"/>
        <v>4471.1838745395798</v>
      </c>
      <c r="S32" s="9">
        <f t="shared" si="5"/>
        <v>615.08508492645467</v>
      </c>
      <c r="T32" s="9">
        <f t="shared" si="0"/>
        <v>4.4616280000000005E-3</v>
      </c>
      <c r="U32" s="9">
        <f t="shared" si="6"/>
        <v>443.10629501200322</v>
      </c>
      <c r="V32" s="9">
        <f t="shared" si="7"/>
        <v>2.3123870521844534E-2</v>
      </c>
      <c r="W32" s="9">
        <f t="shared" si="8"/>
        <v>2.7263316308168171</v>
      </c>
      <c r="X32" s="9">
        <f t="shared" si="9"/>
        <v>1.1123198675810007</v>
      </c>
      <c r="Y32" s="9">
        <f t="shared" si="10"/>
        <v>2.6940648352400003E-5</v>
      </c>
      <c r="Z32" s="9">
        <f t="shared" si="11"/>
        <v>0.29112083582288611</v>
      </c>
      <c r="AA32" s="9">
        <f t="shared" si="12"/>
        <v>1.0670673568569128E-3</v>
      </c>
      <c r="AB32" s="9">
        <f t="shared" si="13"/>
        <v>6.6173521343185779E-3</v>
      </c>
      <c r="AC32" s="9">
        <f t="shared" si="14"/>
        <v>0.66321241739652514</v>
      </c>
      <c r="AD32" s="9">
        <f t="shared" si="15"/>
        <v>1.5639969256320001E-7</v>
      </c>
      <c r="AE32" s="9">
        <f t="shared" si="16"/>
        <v>1.0661137457988799E-2</v>
      </c>
      <c r="AF32" s="9">
        <f t="shared" si="17"/>
        <v>1.059336686383896E-4</v>
      </c>
      <c r="AG32" s="9">
        <f t="shared" si="18"/>
        <v>1.1936598054356347E-2</v>
      </c>
      <c r="AH32" s="9">
        <f t="shared" si="19"/>
        <v>7.9351380846548053E-3</v>
      </c>
      <c r="AI32" s="9">
        <f t="shared" si="20"/>
        <v>1.1837558412827036E-7</v>
      </c>
      <c r="AJ32" s="9">
        <f t="shared" si="21"/>
        <v>1.3207976984123411E-3</v>
      </c>
      <c r="AK32" s="9">
        <f t="shared" si="22"/>
        <v>2.2828072112571835E-2</v>
      </c>
      <c r="AL32" s="9">
        <f t="shared" si="23"/>
        <v>2.5722655003461585</v>
      </c>
      <c r="AM32" s="9">
        <f t="shared" si="24"/>
        <v>1.7099748054422597</v>
      </c>
      <c r="AN32" s="9">
        <f t="shared" si="25"/>
        <v>2.550923049849593E-5</v>
      </c>
      <c r="AO32" s="9">
        <f t="shared" si="26"/>
        <v>0.2846240056917016</v>
      </c>
      <c r="AP32" s="9">
        <f t="shared" si="46"/>
        <v>2.2828072112571835E-2</v>
      </c>
      <c r="AQ32" s="9">
        <f t="shared" si="29"/>
        <v>2.5722655003461585</v>
      </c>
      <c r="AR32" s="9">
        <f t="shared" si="47"/>
        <v>1.7099748054422597</v>
      </c>
      <c r="AS32" s="9">
        <f t="shared" si="31"/>
        <v>2.550923049849593E-5</v>
      </c>
      <c r="AT32" s="9">
        <f t="shared" si="55"/>
        <v>0.28342254619363577</v>
      </c>
      <c r="AU32">
        <f t="shared" ref="AU32:AU33" si="70">$AU$30+(($AU$34-$AU$30)/($D$34-$D$30))*(D32-$D$30)</f>
        <v>2.1571767762286302E-2</v>
      </c>
      <c r="AV32">
        <f>$AV$30+(($AV$34-$AV$30)/($D$34-$D$30))*(D32-$D$30)</f>
        <v>2.7363349239357007</v>
      </c>
      <c r="AW32">
        <f>$AW$30+(($AW$34-$AW$30)/($D$34-$D$30))*(D32-$D$30)</f>
        <v>1.7384973797804373</v>
      </c>
      <c r="AX32">
        <f>$AX$30+(($AX$34-$AX$30)/($D$34-$D$30))*(D32-$D$30)</f>
        <v>2.6288750253117153E-5</v>
      </c>
      <c r="AY32">
        <f>$AY$30+(($AY$34-$AY$30)/($D$34-$D$30))*(D32-$D$30)</f>
        <v>0.27162498323563899</v>
      </c>
      <c r="AZ32">
        <f t="shared" si="48"/>
        <v>1.0582383587719648</v>
      </c>
      <c r="BA32">
        <f t="shared" si="49"/>
        <v>0.94004044528527253</v>
      </c>
      <c r="BB32">
        <f t="shared" si="34"/>
        <v>0.98359354769819674</v>
      </c>
      <c r="BC32">
        <f t="shared" si="68"/>
        <v>0.97034778195556126</v>
      </c>
      <c r="BD32">
        <f t="shared" si="36"/>
        <v>1.0434332763410139</v>
      </c>
      <c r="BG32" s="10">
        <v>300.99999999999994</v>
      </c>
      <c r="BH32">
        <v>1.0300645850003987</v>
      </c>
    </row>
    <row r="33" spans="2:60" x14ac:dyDescent="0.25">
      <c r="B33" t="s">
        <v>116</v>
      </c>
      <c r="C33" s="11" t="s">
        <v>117</v>
      </c>
      <c r="D33" s="12">
        <f t="shared" si="37"/>
        <v>480</v>
      </c>
      <c r="E33" s="8">
        <f t="shared" si="67"/>
        <v>0.33333333333333331</v>
      </c>
      <c r="F33" s="8">
        <v>0.75</v>
      </c>
      <c r="G33" s="9">
        <v>9.8323</v>
      </c>
      <c r="H33" s="9">
        <v>18.919899999999998</v>
      </c>
      <c r="I33" s="9">
        <v>14.610900000000001</v>
      </c>
      <c r="J33" s="9">
        <f t="shared" si="1"/>
        <v>4.3089999999999975</v>
      </c>
      <c r="K33" s="9">
        <f t="shared" si="2"/>
        <v>4.7786000000000008</v>
      </c>
      <c r="L33" s="1">
        <v>96519</v>
      </c>
      <c r="M33" s="1">
        <v>20519</v>
      </c>
      <c r="N33" s="1">
        <v>42340659</v>
      </c>
      <c r="O33" s="1">
        <v>1193629</v>
      </c>
      <c r="P33" s="1">
        <v>2334628</v>
      </c>
      <c r="Q33" s="9">
        <f t="shared" si="3"/>
        <v>14.021350500657016</v>
      </c>
      <c r="R33" s="9">
        <f t="shared" si="4"/>
        <v>4434.3502135448452</v>
      </c>
      <c r="S33" s="9">
        <f t="shared" si="5"/>
        <v>608.0246927808912</v>
      </c>
      <c r="T33" s="9">
        <f t="shared" si="0"/>
        <v>4.8745160000000006E-3</v>
      </c>
      <c r="U33" s="9">
        <f t="shared" si="6"/>
        <v>445.58638494074609</v>
      </c>
      <c r="V33" s="9">
        <f t="shared" si="7"/>
        <v>1.7359834054863452E-2</v>
      </c>
      <c r="W33" s="9">
        <f t="shared" si="8"/>
        <v>2.7038720814297834</v>
      </c>
      <c r="X33" s="9">
        <f t="shared" si="9"/>
        <v>1.0995518544249636</v>
      </c>
      <c r="Y33" s="9">
        <f t="shared" si="10"/>
        <v>2.9433789962800002E-5</v>
      </c>
      <c r="Z33" s="9">
        <f t="shared" si="11"/>
        <v>0.29275025490607021</v>
      </c>
      <c r="AA33" s="9">
        <f t="shared" si="12"/>
        <v>8.0108181815403729E-4</v>
      </c>
      <c r="AB33" s="9">
        <f t="shared" si="13"/>
        <v>6.5628383160463702E-3</v>
      </c>
      <c r="AC33" s="9">
        <f t="shared" si="14"/>
        <v>0.65559958486753211</v>
      </c>
      <c r="AD33" s="9">
        <f t="shared" si="15"/>
        <v>1.7087323367040002E-7</v>
      </c>
      <c r="AE33" s="9">
        <f t="shared" si="16"/>
        <v>1.072080842167435E-2</v>
      </c>
      <c r="AF33" s="9">
        <f t="shared" si="17"/>
        <v>7.8631574518637457E-5</v>
      </c>
      <c r="AG33" s="9">
        <f t="shared" si="18"/>
        <v>1.1682345978057989E-2</v>
      </c>
      <c r="AH33" s="9">
        <f t="shared" si="19"/>
        <v>7.870817116965155E-3</v>
      </c>
      <c r="AI33" s="9">
        <f t="shared" si="20"/>
        <v>1.2764673578412254E-7</v>
      </c>
      <c r="AJ33" s="9">
        <f t="shared" si="21"/>
        <v>1.3126913035140689E-3</v>
      </c>
      <c r="AK33" s="9">
        <f t="shared" si="22"/>
        <v>1.6454939630569088E-2</v>
      </c>
      <c r="AL33" s="9">
        <f t="shared" si="23"/>
        <v>2.4447214619465925</v>
      </c>
      <c r="AM33" s="9">
        <f t="shared" si="24"/>
        <v>1.647096872926203</v>
      </c>
      <c r="AN33" s="9">
        <f t="shared" si="25"/>
        <v>2.6712161675830267E-5</v>
      </c>
      <c r="AO33" s="9">
        <f t="shared" si="26"/>
        <v>0.27470206828654176</v>
      </c>
      <c r="AP33" s="9">
        <f t="shared" si="46"/>
        <v>1.6454939630569088E-2</v>
      </c>
      <c r="AQ33" s="9">
        <f t="shared" si="29"/>
        <v>2.4447214619465925</v>
      </c>
      <c r="AR33" s="9">
        <f t="shared" si="47"/>
        <v>1.647096872926203</v>
      </c>
      <c r="AS33" s="9">
        <f t="shared" si="31"/>
        <v>2.6712161675830267E-5</v>
      </c>
      <c r="AT33" s="9">
        <f t="shared" si="55"/>
        <v>0.27350060878847593</v>
      </c>
      <c r="AU33">
        <f t="shared" si="70"/>
        <v>2.2796810216462685E-2</v>
      </c>
      <c r="AV33">
        <f>$AV$30+(($AV$34-$AV$30)/($D$34-$D$30))*(D33-$D$30)</f>
        <v>2.7495851922858066</v>
      </c>
      <c r="AW33">
        <f>$AW$30+(($AW$34-$AW$30)/($D$34-$D$30))*(D33-$D$30)</f>
        <v>1.7526171773377124</v>
      </c>
      <c r="AX33">
        <f>$AX$30+(($AX$34-$AX$30)/($D$34-$D$30))*(D33-$D$30)</f>
        <v>2.5791291767739222E-5</v>
      </c>
      <c r="AY33">
        <f>$AY$30+(($AY$34-$AY$30)/($D$34-$D$30))*(D33-$D$30)</f>
        <v>0.27634525366563106</v>
      </c>
      <c r="AZ33" s="3">
        <f t="shared" si="48"/>
        <v>0.72180886160495283</v>
      </c>
      <c r="BA33" s="3">
        <f t="shared" si="49"/>
        <v>0.88912373721151283</v>
      </c>
      <c r="BB33" s="3">
        <f t="shared" si="34"/>
        <v>0.93979272497385968</v>
      </c>
      <c r="BC33" s="3">
        <f t="shared" si="68"/>
        <v>1.0357046834405907</v>
      </c>
      <c r="BD33" s="3">
        <f t="shared" si="36"/>
        <v>0.98970619238281887</v>
      </c>
      <c r="BF33" s="9"/>
      <c r="BG33" s="10">
        <v>332</v>
      </c>
      <c r="BH33">
        <v>1.0193695591126088</v>
      </c>
    </row>
    <row r="34" spans="2:60" s="4" customFormat="1" x14ac:dyDescent="0.25">
      <c r="B34" s="4" t="s">
        <v>0</v>
      </c>
      <c r="C34" s="5" t="s">
        <v>46</v>
      </c>
      <c r="D34" s="6">
        <f t="shared" si="37"/>
        <v>482.00000000000011</v>
      </c>
      <c r="E34" s="7">
        <f t="shared" si="67"/>
        <v>0.33472222222222231</v>
      </c>
      <c r="F34" s="7">
        <v>0.75138888888888899</v>
      </c>
      <c r="G34" s="5">
        <v>9.9102999999999994</v>
      </c>
      <c r="H34" s="5">
        <v>18.859300000000001</v>
      </c>
      <c r="I34" s="5">
        <v>14.7911</v>
      </c>
      <c r="J34" s="5">
        <f t="shared" si="1"/>
        <v>4.0682000000000009</v>
      </c>
      <c r="K34" s="5">
        <f t="shared" si="2"/>
        <v>4.8808000000000007</v>
      </c>
      <c r="L34" s="1">
        <v>164727</v>
      </c>
      <c r="M34" s="1">
        <v>24771</v>
      </c>
      <c r="N34" s="1">
        <v>47199842</v>
      </c>
      <c r="O34" s="1">
        <v>1246433</v>
      </c>
      <c r="P34" s="1">
        <v>2545542</v>
      </c>
      <c r="Q34" s="5">
        <f t="shared" si="3"/>
        <v>20.969227164845016</v>
      </c>
      <c r="R34" s="5">
        <f t="shared" si="4"/>
        <v>5395.1890267326517</v>
      </c>
      <c r="S34" s="5">
        <f t="shared" si="5"/>
        <v>678.02862576174493</v>
      </c>
      <c r="T34" s="5">
        <f t="shared" si="0"/>
        <v>5.0857320000000008E-3</v>
      </c>
      <c r="U34" s="5">
        <f t="shared" si="6"/>
        <v>485.7711961284914</v>
      </c>
      <c r="V34" s="5">
        <f t="shared" si="7"/>
        <v>2.5962000152794613E-2</v>
      </c>
      <c r="W34" s="5">
        <f t="shared" si="8"/>
        <v>3.2897494065443</v>
      </c>
      <c r="X34" s="5">
        <f t="shared" si="9"/>
        <v>1.2261469668275395</v>
      </c>
      <c r="Y34" s="5">
        <f t="shared" si="10"/>
        <v>3.0709175535600006E-5</v>
      </c>
      <c r="Z34" s="5">
        <f t="shared" si="11"/>
        <v>0.3191516758564189</v>
      </c>
      <c r="AA34" s="5">
        <f t="shared" si="12"/>
        <v>1.1980348556090903E-3</v>
      </c>
      <c r="AB34" s="5">
        <f t="shared" si="13"/>
        <v>7.9848797595643249E-3</v>
      </c>
      <c r="AC34" s="5">
        <f t="shared" si="14"/>
        <v>0.7310809755844726</v>
      </c>
      <c r="AD34" s="5">
        <f t="shared" si="15"/>
        <v>1.7827728382080004E-7</v>
      </c>
      <c r="AE34" s="5">
        <f t="shared" si="16"/>
        <v>1.1687654978851504E-2</v>
      </c>
      <c r="AF34" s="5">
        <f t="shared" si="17"/>
        <v>1.1146597754485591E-4</v>
      </c>
      <c r="AG34" s="5">
        <f t="shared" si="18"/>
        <v>1.3422331136834005E-2</v>
      </c>
      <c r="AH34" s="5">
        <f t="shared" si="19"/>
        <v>8.556471116080492E-3</v>
      </c>
      <c r="AI34" s="5">
        <f t="shared" si="20"/>
        <v>1.2580120368080053E-7</v>
      </c>
      <c r="AJ34" s="5">
        <f t="shared" si="21"/>
        <v>1.355417954139862E-3</v>
      </c>
      <c r="AK34" s="5">
        <f t="shared" si="22"/>
        <v>2.2837644964935233E-2</v>
      </c>
      <c r="AL34" s="5">
        <f t="shared" si="23"/>
        <v>2.7500268678974766</v>
      </c>
      <c r="AM34" s="5">
        <f t="shared" si="24"/>
        <v>1.7530878372562881</v>
      </c>
      <c r="AN34" s="5">
        <f t="shared" si="25"/>
        <v>2.5774709818226624E-5</v>
      </c>
      <c r="AO34" s="5">
        <f t="shared" si="26"/>
        <v>0.27770405551136329</v>
      </c>
      <c r="AP34" s="5">
        <f t="shared" si="46"/>
        <v>2.2837644964935233E-2</v>
      </c>
      <c r="AQ34" s="5">
        <f t="shared" si="29"/>
        <v>2.7500268678974766</v>
      </c>
      <c r="AR34" s="5">
        <f t="shared" si="47"/>
        <v>1.7530878372562881</v>
      </c>
      <c r="AS34" s="5">
        <f t="shared" si="31"/>
        <v>2.5774709818226624E-5</v>
      </c>
      <c r="AT34" s="5">
        <f t="shared" si="55"/>
        <v>0.27650259601329746</v>
      </c>
      <c r="AU34" s="4">
        <f>AP34</f>
        <v>2.2837644964935233E-2</v>
      </c>
      <c r="AV34" s="4">
        <f t="shared" ref="AV34:AY34" si="71">AQ34</f>
        <v>2.7500268678974766</v>
      </c>
      <c r="AW34" s="4">
        <f t="shared" si="71"/>
        <v>1.7530878372562881</v>
      </c>
      <c r="AX34" s="4">
        <f t="shared" si="71"/>
        <v>2.5774709818226624E-5</v>
      </c>
      <c r="AY34" s="4">
        <f t="shared" si="71"/>
        <v>0.27650259601329746</v>
      </c>
      <c r="AZ34" s="4">
        <f t="shared" si="48"/>
        <v>1</v>
      </c>
      <c r="BA34" s="4">
        <f t="shared" si="49"/>
        <v>1</v>
      </c>
      <c r="BB34" s="4">
        <f t="shared" si="34"/>
        <v>1</v>
      </c>
      <c r="BC34" s="4">
        <f t="shared" si="68"/>
        <v>1</v>
      </c>
      <c r="BD34" s="4">
        <f t="shared" si="36"/>
        <v>1</v>
      </c>
      <c r="BG34" s="10">
        <v>360.99999999999994</v>
      </c>
      <c r="BH34">
        <v>0.98886533228719753</v>
      </c>
    </row>
    <row r="35" spans="2:60" x14ac:dyDescent="0.25">
      <c r="B35" t="s">
        <v>2</v>
      </c>
      <c r="C35" s="9" t="s">
        <v>117</v>
      </c>
      <c r="D35" s="10">
        <f t="shared" si="37"/>
        <v>539.99999999999989</v>
      </c>
      <c r="E35" s="8">
        <f t="shared" si="67"/>
        <v>0.37499999999999994</v>
      </c>
      <c r="F35" s="8">
        <v>0.79166666666666663</v>
      </c>
      <c r="G35" s="9">
        <v>10.0459</v>
      </c>
      <c r="H35" s="9">
        <v>18.790199999999999</v>
      </c>
      <c r="I35" s="9">
        <v>14.465400000000001</v>
      </c>
      <c r="J35" s="9">
        <f t="shared" si="1"/>
        <v>4.324799999999998</v>
      </c>
      <c r="K35" s="9">
        <f t="shared" si="2"/>
        <v>4.4195000000000011</v>
      </c>
      <c r="L35" s="1">
        <v>130540</v>
      </c>
      <c r="M35" s="1">
        <v>18467</v>
      </c>
      <c r="N35" s="1">
        <v>40129146</v>
      </c>
      <c r="O35" s="1">
        <v>1214555</v>
      </c>
      <c r="P35" s="1">
        <v>2133711</v>
      </c>
      <c r="Q35" s="9">
        <f t="shared" si="3"/>
        <v>17.486834197471758</v>
      </c>
      <c r="R35" s="9">
        <f t="shared" si="4"/>
        <v>3970.6528370957903</v>
      </c>
      <c r="S35" s="9">
        <f t="shared" si="5"/>
        <v>576.1644792762163</v>
      </c>
      <c r="T35" s="9">
        <f t="shared" si="0"/>
        <v>4.9582200000000002E-3</v>
      </c>
      <c r="U35" s="9">
        <f t="shared" si="6"/>
        <v>407.30627214876347</v>
      </c>
      <c r="V35" s="9">
        <f t="shared" si="7"/>
        <v>2.1650449419889781E-2</v>
      </c>
      <c r="W35" s="9">
        <f t="shared" si="8"/>
        <v>2.4211297787169452</v>
      </c>
      <c r="X35" s="9">
        <f t="shared" si="9"/>
        <v>1.0419358443231095</v>
      </c>
      <c r="Y35" s="9">
        <f t="shared" si="10"/>
        <v>2.9939219825999996E-5</v>
      </c>
      <c r="Z35" s="9">
        <f t="shared" si="11"/>
        <v>0.26760022080173762</v>
      </c>
      <c r="AA35" s="9">
        <f t="shared" si="12"/>
        <v>9.9907529820415417E-4</v>
      </c>
      <c r="AB35" s="9">
        <f t="shared" si="13"/>
        <v>5.8765661989017689E-3</v>
      </c>
      <c r="AC35" s="9">
        <f t="shared" si="14"/>
        <v>0.62124646895718383</v>
      </c>
      <c r="AD35" s="9">
        <f t="shared" si="15"/>
        <v>1.7380742716800001E-7</v>
      </c>
      <c r="AE35" s="9">
        <f t="shared" si="16"/>
        <v>9.7997889078992491E-3</v>
      </c>
      <c r="AF35" s="9">
        <f t="shared" si="17"/>
        <v>9.8049276931552542E-5</v>
      </c>
      <c r="AG35" s="9">
        <f t="shared" si="18"/>
        <v>1.0496873551311086E-2</v>
      </c>
      <c r="AH35" s="9">
        <f t="shared" si="19"/>
        <v>7.2517629090848561E-3</v>
      </c>
      <c r="AI35" s="9">
        <f t="shared" si="20"/>
        <v>1.3024927982785368E-7</v>
      </c>
      <c r="AJ35" s="9">
        <f t="shared" si="21"/>
        <v>1.2006276020018153E-3</v>
      </c>
      <c r="AK35" s="9">
        <f t="shared" si="22"/>
        <v>2.2185604012117326E-2</v>
      </c>
      <c r="AL35" s="9">
        <f t="shared" si="23"/>
        <v>2.3751269490465172</v>
      </c>
      <c r="AM35" s="9">
        <f t="shared" si="24"/>
        <v>1.640855958611801</v>
      </c>
      <c r="AN35" s="9">
        <f t="shared" si="25"/>
        <v>2.947149673670181E-5</v>
      </c>
      <c r="AO35" s="9">
        <f t="shared" si="26"/>
        <v>0.27166593551347773</v>
      </c>
      <c r="AP35" s="9">
        <f t="shared" si="46"/>
        <v>2.2185604012117326E-2</v>
      </c>
      <c r="AQ35" s="9">
        <f t="shared" si="29"/>
        <v>2.3751269490465172</v>
      </c>
      <c r="AR35" s="9">
        <f t="shared" si="47"/>
        <v>1.640855958611801</v>
      </c>
      <c r="AS35" s="9">
        <f t="shared" si="31"/>
        <v>2.947149673670181E-5</v>
      </c>
      <c r="AT35" s="9">
        <f t="shared" si="55"/>
        <v>0.2704644760154119</v>
      </c>
      <c r="AU35">
        <f>$AU$34+(($AU$37-$AU$34)/($D$37-$D$34))*(D35-$D$34)</f>
        <v>2.2163326623052683E-2</v>
      </c>
      <c r="AV35">
        <f>$AV$34+(($AV$37-$AV$34)/($D$37-$D$34))*(D35-$D$34)</f>
        <v>2.5277587263792989</v>
      </c>
      <c r="AW35">
        <f>$AW$34+(($AW$37-$AW$34)/($D$37-$D$34))*(D35-$D$34)</f>
        <v>1.714344233648341</v>
      </c>
      <c r="AX35">
        <f>$AX$34+(($AX$37-$AX$34)/($D$37-$D$34))*(D35-$D$34)</f>
        <v>2.6769315719839067E-5</v>
      </c>
      <c r="AY35">
        <f>$AY$34+(($AY$37-$AY$34)/($D$37-$D$34))*(D35-$D$34)</f>
        <v>0.2711368706011783</v>
      </c>
      <c r="AZ35">
        <f t="shared" si="48"/>
        <v>1.0010051464495169</v>
      </c>
      <c r="BA35">
        <f t="shared" si="49"/>
        <v>0.93961774288821953</v>
      </c>
      <c r="BB35">
        <f t="shared" si="34"/>
        <v>0.95713330287223142</v>
      </c>
      <c r="BC35">
        <f t="shared" si="68"/>
        <v>1.1009432233958869</v>
      </c>
      <c r="BD35">
        <f t="shared" si="36"/>
        <v>0.99752009166338929</v>
      </c>
      <c r="BF35" s="9"/>
      <c r="BG35" s="10">
        <v>390</v>
      </c>
      <c r="BH35">
        <v>0.99910218281802354</v>
      </c>
    </row>
    <row r="36" spans="2:60" x14ac:dyDescent="0.25">
      <c r="B36" t="s">
        <v>3</v>
      </c>
      <c r="C36" s="9" t="s">
        <v>117</v>
      </c>
      <c r="D36" s="10">
        <f t="shared" si="37"/>
        <v>608.99999999999989</v>
      </c>
      <c r="E36" s="8">
        <f t="shared" si="67"/>
        <v>0.42291666666666655</v>
      </c>
      <c r="F36" s="8">
        <v>0.83958333333333324</v>
      </c>
      <c r="G36" s="9">
        <v>10.019299999999999</v>
      </c>
      <c r="H36" s="9">
        <v>18.870899999999999</v>
      </c>
      <c r="I36" s="9">
        <v>14.472200000000001</v>
      </c>
      <c r="J36" s="9">
        <f t="shared" si="1"/>
        <v>4.3986999999999981</v>
      </c>
      <c r="K36" s="9">
        <f t="shared" si="2"/>
        <v>4.4529000000000014</v>
      </c>
      <c r="L36" s="1">
        <v>126337</v>
      </c>
      <c r="M36" s="1">
        <v>17337</v>
      </c>
      <c r="N36" s="1">
        <v>40059170</v>
      </c>
      <c r="O36" s="1">
        <v>1119650</v>
      </c>
      <c r="P36" s="1">
        <v>2089412</v>
      </c>
      <c r="Q36" s="9">
        <f t="shared" si="3"/>
        <v>17.058703690499229</v>
      </c>
      <c r="R36" s="9">
        <f t="shared" si="4"/>
        <v>3715.3029173163404</v>
      </c>
      <c r="S36" s="9">
        <f t="shared" si="5"/>
        <v>575.1563684036131</v>
      </c>
      <c r="T36" s="9">
        <f t="shared" si="0"/>
        <v>4.5786000000000004E-3</v>
      </c>
      <c r="U36" s="9">
        <f t="shared" si="6"/>
        <v>398.86611667873336</v>
      </c>
      <c r="V36" s="9">
        <f t="shared" si="7"/>
        <v>2.1120381039207093E-2</v>
      </c>
      <c r="W36" s="9">
        <f t="shared" si="8"/>
        <v>2.2654286081197199</v>
      </c>
      <c r="X36" s="9">
        <f t="shared" si="9"/>
        <v>1.0401127766210938</v>
      </c>
      <c r="Y36" s="9">
        <f t="shared" si="10"/>
        <v>2.7646960380000002E-5</v>
      </c>
      <c r="Z36" s="9">
        <f t="shared" si="11"/>
        <v>0.26205503865792784</v>
      </c>
      <c r="AA36" s="9">
        <f t="shared" si="12"/>
        <v>9.746149179492927E-4</v>
      </c>
      <c r="AB36" s="9">
        <f t="shared" si="13"/>
        <v>5.4986483176281834E-3</v>
      </c>
      <c r="AC36" s="9">
        <f t="shared" si="14"/>
        <v>0.62015947844935382</v>
      </c>
      <c r="AD36" s="9">
        <f t="shared" si="15"/>
        <v>1.6050007584E-7</v>
      </c>
      <c r="AE36" s="9">
        <f t="shared" si="16"/>
        <v>9.5967187672903239E-3</v>
      </c>
      <c r="AF36" s="9">
        <f t="shared" si="17"/>
        <v>9.724208284529661E-5</v>
      </c>
      <c r="AG36" s="9">
        <f t="shared" si="18"/>
        <v>9.9894257496297746E-3</v>
      </c>
      <c r="AH36" s="9">
        <f t="shared" si="19"/>
        <v>7.3366522121103318E-3</v>
      </c>
      <c r="AI36" s="9">
        <f t="shared" si="20"/>
        <v>1.2232537541121389E-7</v>
      </c>
      <c r="AJ36" s="9">
        <f t="shared" si="21"/>
        <v>1.1954347275434938E-3</v>
      </c>
      <c r="AK36" s="9">
        <f t="shared" si="22"/>
        <v>2.1837921993598908E-2</v>
      </c>
      <c r="AL36" s="9">
        <f t="shared" si="23"/>
        <v>2.2433528149362822</v>
      </c>
      <c r="AM36" s="9">
        <f t="shared" si="24"/>
        <v>1.6476121655798084</v>
      </c>
      <c r="AN36" s="9">
        <f t="shared" si="25"/>
        <v>2.7470945992771869E-5</v>
      </c>
      <c r="AO36" s="9">
        <f t="shared" si="26"/>
        <v>0.26846206461934768</v>
      </c>
      <c r="AP36" s="9">
        <f t="shared" si="46"/>
        <v>2.1837921993598908E-2</v>
      </c>
      <c r="AQ36" s="9">
        <f t="shared" si="29"/>
        <v>2.2433528149362822</v>
      </c>
      <c r="AR36" s="9">
        <f t="shared" si="47"/>
        <v>1.6476121655798084</v>
      </c>
      <c r="AS36" s="9">
        <f t="shared" si="31"/>
        <v>2.7470945992771869E-5</v>
      </c>
      <c r="AT36" s="9">
        <f t="shared" si="55"/>
        <v>0.26726060512128186</v>
      </c>
      <c r="AU36">
        <f>$AU$34+(($AU$37-$AU$34)/($D$37-$D$34))*(D36-$D$34)</f>
        <v>2.1361120319778611E-2</v>
      </c>
      <c r="AV36">
        <f>$AV$34+(($AV$37-$AV$34)/($D$37-$D$34))*(D36-$D$34)</f>
        <v>2.2633362821593965</v>
      </c>
      <c r="AW36">
        <f>$AW$34+(($AW$37-$AW$34)/($D$37-$D$34))*(D36-$D$34)</f>
        <v>1.6682527052181968</v>
      </c>
      <c r="AX36">
        <f>$AX$34+(($AX$37-$AX$34)/($D$37-$D$34))*(D36-$D$34)</f>
        <v>2.7952553775205602E-5</v>
      </c>
      <c r="AY36">
        <f>$AY$34+(($AY$37-$AY$34)/($D$37-$D$34))*(D36-$D$34)</f>
        <v>0.26475350761089861</v>
      </c>
      <c r="AZ36">
        <f t="shared" si="48"/>
        <v>1.0223210050167086</v>
      </c>
      <c r="BA36">
        <f t="shared" si="49"/>
        <v>0.991170791817092</v>
      </c>
      <c r="BB36">
        <f t="shared" si="34"/>
        <v>0.98762745022152454</v>
      </c>
      <c r="BC36">
        <f t="shared" si="68"/>
        <v>0.98277052657489461</v>
      </c>
      <c r="BD36">
        <f t="shared" si="36"/>
        <v>1.0094695535217153</v>
      </c>
      <c r="BG36" s="10">
        <v>420</v>
      </c>
      <c r="BH36">
        <v>0.99764450985492881</v>
      </c>
    </row>
    <row r="37" spans="2:60" s="5" customFormat="1" x14ac:dyDescent="0.25">
      <c r="B37" s="4" t="s">
        <v>4</v>
      </c>
      <c r="C37" s="5" t="s">
        <v>47</v>
      </c>
      <c r="D37" s="6">
        <f t="shared" si="37"/>
        <v>610</v>
      </c>
      <c r="E37" s="7">
        <f t="shared" si="67"/>
        <v>0.4236111111111111</v>
      </c>
      <c r="F37" s="7">
        <v>0.84027777777777779</v>
      </c>
      <c r="G37" s="5">
        <v>9.9443999999999999</v>
      </c>
      <c r="H37" s="5">
        <v>19.072299999999998</v>
      </c>
      <c r="I37" s="5">
        <v>14.9862</v>
      </c>
      <c r="J37" s="5">
        <f t="shared" si="1"/>
        <v>4.0860999999999983</v>
      </c>
      <c r="K37" s="5">
        <f t="shared" si="2"/>
        <v>5.0418000000000003</v>
      </c>
      <c r="L37" s="1">
        <v>156495</v>
      </c>
      <c r="M37" s="1">
        <v>21069</v>
      </c>
      <c r="N37" s="1">
        <v>45638490</v>
      </c>
      <c r="O37" s="1">
        <v>1393698</v>
      </c>
      <c r="P37" s="1">
        <v>2503291</v>
      </c>
      <c r="Q37" s="5">
        <f t="shared" si="3"/>
        <v>20.130690326063704</v>
      </c>
      <c r="R37" s="5">
        <f t="shared" si="4"/>
        <v>4558.6355727295331</v>
      </c>
      <c r="S37" s="5">
        <f t="shared" si="5"/>
        <v>655.53497183524701</v>
      </c>
      <c r="T37" s="5">
        <f t="shared" si="0"/>
        <v>5.6747920000000006E-3</v>
      </c>
      <c r="U37" s="5">
        <f t="shared" si="6"/>
        <v>477.72123994970087</v>
      </c>
      <c r="V37" s="5">
        <f t="shared" si="7"/>
        <v>2.492380769269947E-2</v>
      </c>
      <c r="W37" s="5">
        <f t="shared" si="8"/>
        <v>2.7796558370302029</v>
      </c>
      <c r="X37" s="5">
        <f t="shared" si="9"/>
        <v>1.1854694430668606</v>
      </c>
      <c r="Y37" s="5">
        <f t="shared" si="10"/>
        <v>3.4266096533600002E-5</v>
      </c>
      <c r="Z37" s="5">
        <f t="shared" si="11"/>
        <v>0.31386285464695352</v>
      </c>
      <c r="AA37" s="5">
        <f t="shared" si="12"/>
        <v>1.1501267303989976E-3</v>
      </c>
      <c r="AB37" s="5">
        <f t="shared" si="13"/>
        <v>6.7467806476397092E-3</v>
      </c>
      <c r="AC37" s="5">
        <f t="shared" si="14"/>
        <v>0.70682730570649599</v>
      </c>
      <c r="AD37" s="5">
        <f t="shared" si="15"/>
        <v>1.9892642868480002E-7</v>
      </c>
      <c r="AE37" s="5">
        <f t="shared" si="16"/>
        <v>1.1493973033189801E-2</v>
      </c>
      <c r="AF37" s="5">
        <f t="shared" si="17"/>
        <v>1.0763987956246493E-4</v>
      </c>
      <c r="AG37" s="5">
        <f t="shared" si="18"/>
        <v>1.1391967634358378E-2</v>
      </c>
      <c r="AH37" s="5">
        <f t="shared" si="19"/>
        <v>8.4076286012265099E-3</v>
      </c>
      <c r="AI37" s="5">
        <f t="shared" si="20"/>
        <v>1.4101764431408591E-7</v>
      </c>
      <c r="AJ37" s="5">
        <f t="shared" si="21"/>
        <v>1.3404253236116526E-3</v>
      </c>
      <c r="AK37" s="5">
        <f t="shared" si="22"/>
        <v>2.134949414147029E-2</v>
      </c>
      <c r="AL37" s="5">
        <f t="shared" si="23"/>
        <v>2.2595040728228759</v>
      </c>
      <c r="AM37" s="5">
        <f t="shared" si="24"/>
        <v>1.6675847120525424</v>
      </c>
      <c r="AN37" s="5">
        <f t="shared" si="25"/>
        <v>2.796970215281961E-5</v>
      </c>
      <c r="AO37" s="5">
        <f t="shared" si="26"/>
        <v>0.26586245460185892</v>
      </c>
      <c r="AP37" s="5">
        <f t="shared" si="46"/>
        <v>2.134949414147029E-2</v>
      </c>
      <c r="AQ37" s="5">
        <f t="shared" si="29"/>
        <v>2.2595040728228759</v>
      </c>
      <c r="AR37" s="5">
        <f t="shared" si="47"/>
        <v>1.6675847120525424</v>
      </c>
      <c r="AS37" s="5">
        <f t="shared" si="31"/>
        <v>2.796970215281961E-5</v>
      </c>
      <c r="AT37" s="5">
        <f t="shared" si="55"/>
        <v>0.2646609951037931</v>
      </c>
      <c r="AU37" s="4">
        <f>AP37</f>
        <v>2.134949414147029E-2</v>
      </c>
      <c r="AV37" s="4">
        <f t="shared" ref="AV37:AY37" si="72">AQ37</f>
        <v>2.2595040728228759</v>
      </c>
      <c r="AW37" s="4">
        <f t="shared" si="72"/>
        <v>1.6675847120525424</v>
      </c>
      <c r="AX37" s="4">
        <f t="shared" si="72"/>
        <v>2.796970215281961E-5</v>
      </c>
      <c r="AY37" s="4">
        <f t="shared" si="72"/>
        <v>0.2646609951037931</v>
      </c>
      <c r="AZ37" s="4">
        <f t="shared" si="48"/>
        <v>1</v>
      </c>
      <c r="BA37" s="4">
        <f t="shared" si="49"/>
        <v>1</v>
      </c>
      <c r="BB37" s="4">
        <f t="shared" si="34"/>
        <v>1</v>
      </c>
      <c r="BC37" s="4">
        <f t="shared" si="68"/>
        <v>1</v>
      </c>
      <c r="BD37" s="4">
        <f t="shared" si="36"/>
        <v>1</v>
      </c>
      <c r="BE37" s="4"/>
      <c r="BG37" s="10">
        <v>480</v>
      </c>
      <c r="BH37">
        <v>1.0089435953326877</v>
      </c>
    </row>
    <row r="38" spans="2:60" x14ac:dyDescent="0.25">
      <c r="B38" t="s">
        <v>5</v>
      </c>
      <c r="C38" s="9" t="s">
        <v>119</v>
      </c>
      <c r="D38" s="10"/>
      <c r="E38" s="8"/>
      <c r="F38" s="8"/>
      <c r="L38" s="1"/>
      <c r="N38" s="1"/>
      <c r="O38" s="1"/>
      <c r="P38" s="1"/>
      <c r="BF38" s="9"/>
      <c r="BG38" s="10">
        <v>539.99999999999989</v>
      </c>
      <c r="BH38">
        <v>1.0324006328726647</v>
      </c>
    </row>
    <row r="39" spans="2:60" x14ac:dyDescent="0.25">
      <c r="BF39" s="9"/>
      <c r="BG39" s="10">
        <v>608.99999999999989</v>
      </c>
      <c r="BH39">
        <v>1.0337251188699839</v>
      </c>
    </row>
    <row r="40" spans="2:60" x14ac:dyDescent="0.25">
      <c r="BF40" s="9"/>
    </row>
    <row r="41" spans="2:60" x14ac:dyDescent="0.25">
      <c r="BF41" s="9"/>
    </row>
    <row r="42" spans="2:60" x14ac:dyDescent="0.25">
      <c r="BF42" s="9"/>
    </row>
    <row r="43" spans="2:60" x14ac:dyDescent="0.25">
      <c r="BF43" s="9"/>
    </row>
    <row r="44" spans="2:60" x14ac:dyDescent="0.25">
      <c r="BF44" s="9"/>
    </row>
    <row r="45" spans="2:60" x14ac:dyDescent="0.25">
      <c r="BF45" s="9"/>
    </row>
    <row r="46" spans="2:60" x14ac:dyDescent="0.25">
      <c r="BF46" s="9"/>
    </row>
    <row r="47" spans="2:60" x14ac:dyDescent="0.25">
      <c r="BF47" s="9"/>
    </row>
    <row r="48" spans="2:60" x14ac:dyDescent="0.25">
      <c r="BF48" s="9"/>
      <c r="BG48" s="9"/>
    </row>
    <row r="49" spans="58:60" x14ac:dyDescent="0.25">
      <c r="BF49" s="9"/>
      <c r="BG49" s="9"/>
    </row>
    <row r="56" spans="58:60" x14ac:dyDescent="0.25">
      <c r="BG56">
        <v>94</v>
      </c>
      <c r="BH56">
        <v>0.81636307221078819</v>
      </c>
    </row>
    <row r="57" spans="58:60" x14ac:dyDescent="0.25">
      <c r="BG57">
        <v>109</v>
      </c>
      <c r="BH57">
        <v>0.83049417217035859</v>
      </c>
    </row>
    <row r="58" spans="58:60" x14ac:dyDescent="0.25">
      <c r="BG58">
        <v>131</v>
      </c>
      <c r="BH58">
        <v>0.81432850676134794</v>
      </c>
    </row>
    <row r="59" spans="58:60" x14ac:dyDescent="0.25">
      <c r="BG59">
        <v>150</v>
      </c>
      <c r="BH59">
        <v>0.8580867678118157</v>
      </c>
    </row>
    <row r="60" spans="58:60" x14ac:dyDescent="0.25">
      <c r="BG60">
        <v>170</v>
      </c>
      <c r="BH60">
        <v>0.87977777341526131</v>
      </c>
    </row>
    <row r="61" spans="58:60" x14ac:dyDescent="0.25">
      <c r="BG61">
        <v>199</v>
      </c>
      <c r="BH61">
        <v>0.90618902286486214</v>
      </c>
    </row>
    <row r="62" spans="58:60" x14ac:dyDescent="0.25">
      <c r="BG62">
        <v>226</v>
      </c>
      <c r="BH62">
        <v>0.89466604161995811</v>
      </c>
    </row>
    <row r="63" spans="58:60" x14ac:dyDescent="0.25">
      <c r="BG63">
        <v>257</v>
      </c>
      <c r="BH63">
        <v>0.92032247199366601</v>
      </c>
    </row>
  </sheetData>
  <autoFilter ref="BG12:BH49" xr:uid="{0AD4ED84-AD5B-42D8-B3C3-AAC4C8D3E0C0}">
    <sortState xmlns:xlrd2="http://schemas.microsoft.com/office/spreadsheetml/2017/richdata2" ref="BG13:BH49">
      <sortCondition ref="BG12:BG49"/>
    </sortState>
  </autoFilter>
  <mergeCells count="10">
    <mergeCell ref="BG4:BH4"/>
    <mergeCell ref="AF4:AI4"/>
    <mergeCell ref="AP4:AT4"/>
    <mergeCell ref="AU4:AY4"/>
    <mergeCell ref="AZ4:BD4"/>
    <mergeCell ref="L4:P4"/>
    <mergeCell ref="Q4:U4"/>
    <mergeCell ref="V4:Z4"/>
    <mergeCell ref="AA4:AE4"/>
    <mergeCell ref="AK4:AO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Autosampler - FID</vt:lpstr>
      <vt:lpstr>Autosampler - TCD</vt:lpstr>
      <vt:lpstr>Autosampler - ECD</vt:lpstr>
      <vt:lpstr>Aqueous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reid_lab</dc:creator>
  <cp:lastModifiedBy>Phil McGuire</cp:lastModifiedBy>
  <dcterms:created xsi:type="dcterms:W3CDTF">2017-11-13T18:12:49Z</dcterms:created>
  <dcterms:modified xsi:type="dcterms:W3CDTF">2019-08-19T16:38:50Z</dcterms:modified>
</cp:coreProperties>
</file>