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pmm262_cornell_edu/Documents/Documents/First Publication Tracer Tests/"/>
    </mc:Choice>
  </mc:AlternateContent>
  <xr:revisionPtr revIDLastSave="377" documentId="8_{66003908-7FBE-4776-8C06-67EE8EF88745}" xr6:coauthVersionLast="43" xr6:coauthVersionMax="43" xr10:uidLastSave="{4871FF36-41DF-40F4-8D86-0061EEEADDA1}"/>
  <bookViews>
    <workbookView xWindow="24660" yWindow="8865" windowWidth="8640" windowHeight="6000" firstSheet="3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" i="4" l="1"/>
  <c r="T16" i="4"/>
  <c r="S15" i="4"/>
  <c r="R16" i="4"/>
  <c r="Q15" i="4"/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14" i="4"/>
  <c r="K13" i="4"/>
  <c r="K12" i="4"/>
  <c r="K11" i="4"/>
  <c r="K10" i="4"/>
  <c r="K9" i="4"/>
  <c r="AD14" i="4"/>
  <c r="AC14" i="4"/>
  <c r="AB14" i="4"/>
  <c r="AA14" i="4"/>
  <c r="Y14" i="4"/>
  <c r="X14" i="4"/>
  <c r="W14" i="4"/>
  <c r="V14" i="4"/>
  <c r="U14" i="4"/>
  <c r="Z14" i="4" s="1"/>
  <c r="E14" i="4"/>
  <c r="D14" i="4" s="1"/>
  <c r="AH14" i="4" l="1"/>
  <c r="AM14" i="4" s="1"/>
  <c r="AI14" i="4"/>
  <c r="AN14" i="4" s="1"/>
  <c r="AF14" i="4"/>
  <c r="AK14" i="4" s="1"/>
  <c r="AE14" i="4"/>
  <c r="AJ14" i="4" s="1"/>
  <c r="AO14" i="4" s="1"/>
  <c r="AG14" i="4"/>
  <c r="AL14" i="4" s="1"/>
  <c r="Q16" i="4"/>
  <c r="E30" i="4" l="1"/>
  <c r="E31" i="4"/>
  <c r="E32" i="4"/>
  <c r="E33" i="4"/>
  <c r="E34" i="4"/>
  <c r="E35" i="4"/>
  <c r="E36" i="4"/>
  <c r="E37" i="4"/>
  <c r="E29" i="4"/>
  <c r="E28" i="4"/>
  <c r="D28" i="4" s="1"/>
  <c r="U28" i="4"/>
  <c r="Z28" i="4" s="1"/>
  <c r="T28" i="4"/>
  <c r="Y28" i="4" s="1"/>
  <c r="S28" i="4"/>
  <c r="X28" i="4" s="1"/>
  <c r="R28" i="4"/>
  <c r="AB28" i="4" s="1"/>
  <c r="Q28" i="4"/>
  <c r="AA28" i="4" s="1"/>
  <c r="V28" i="4" l="1"/>
  <c r="AF28" i="4" s="1"/>
  <c r="AK28" i="4" s="1"/>
  <c r="W28" i="4"/>
  <c r="AG28" i="4" s="1"/>
  <c r="AL28" i="4" s="1"/>
  <c r="AE28" i="4"/>
  <c r="AJ28" i="4" s="1"/>
  <c r="AO28" i="4" s="1"/>
  <c r="AD28" i="4"/>
  <c r="AI28" i="4" s="1"/>
  <c r="AN28" i="4" s="1"/>
  <c r="AC28" i="4"/>
  <c r="AH28" i="4" s="1"/>
  <c r="AM28" i="4" s="1"/>
  <c r="E12" i="4"/>
  <c r="U36" i="4" l="1"/>
  <c r="Z36" i="4" s="1"/>
  <c r="U37" i="4"/>
  <c r="Z37" i="4" s="1"/>
  <c r="U38" i="4"/>
  <c r="Z38" i="4" s="1"/>
  <c r="T36" i="4"/>
  <c r="AD36" i="4" s="1"/>
  <c r="T37" i="4"/>
  <c r="Y37" i="4" s="1"/>
  <c r="T38" i="4"/>
  <c r="Y38" i="4" s="1"/>
  <c r="S36" i="4"/>
  <c r="X36" i="4" s="1"/>
  <c r="S37" i="4"/>
  <c r="AC37" i="4" s="1"/>
  <c r="S38" i="4"/>
  <c r="X38" i="4" s="1"/>
  <c r="R36" i="4"/>
  <c r="W36" i="4" s="1"/>
  <c r="R37" i="4"/>
  <c r="W37" i="4" s="1"/>
  <c r="R38" i="4"/>
  <c r="AB38" i="4" s="1"/>
  <c r="Q36" i="4"/>
  <c r="V36" i="4" s="1"/>
  <c r="Q37" i="4"/>
  <c r="V37" i="4" s="1"/>
  <c r="Q38" i="4"/>
  <c r="V38" i="4" s="1"/>
  <c r="J38" i="4"/>
  <c r="K38" i="4"/>
  <c r="D37" i="4"/>
  <c r="D36" i="4"/>
  <c r="AA38" i="4" l="1"/>
  <c r="AF38" i="4" s="1"/>
  <c r="AK38" i="4" s="1"/>
  <c r="W38" i="4"/>
  <c r="AG38" i="4" s="1"/>
  <c r="AL38" i="4" s="1"/>
  <c r="AB37" i="4"/>
  <c r="AG37" i="4" s="1"/>
  <c r="AL37" i="4" s="1"/>
  <c r="X37" i="4"/>
  <c r="AH37" i="4" s="1"/>
  <c r="AM37" i="4" s="1"/>
  <c r="AC36" i="4"/>
  <c r="AH36" i="4" s="1"/>
  <c r="AM36" i="4" s="1"/>
  <c r="Y36" i="4"/>
  <c r="AI36" i="4" s="1"/>
  <c r="AN36" i="4" s="1"/>
  <c r="AE38" i="4"/>
  <c r="AJ38" i="4" s="1"/>
  <c r="AO38" i="4" s="1"/>
  <c r="AA37" i="4"/>
  <c r="AF37" i="4" s="1"/>
  <c r="AK37" i="4" s="1"/>
  <c r="AB36" i="4"/>
  <c r="AG36" i="4" s="1"/>
  <c r="AL36" i="4" s="1"/>
  <c r="AD38" i="4"/>
  <c r="AI38" i="4" s="1"/>
  <c r="AN38" i="4" s="1"/>
  <c r="AE37" i="4"/>
  <c r="AJ37" i="4" s="1"/>
  <c r="AO37" i="4" s="1"/>
  <c r="AA36" i="4"/>
  <c r="AF36" i="4" s="1"/>
  <c r="AK36" i="4" s="1"/>
  <c r="AC38" i="4"/>
  <c r="AH38" i="4" s="1"/>
  <c r="AM38" i="4" s="1"/>
  <c r="AD37" i="4"/>
  <c r="AI37" i="4" s="1"/>
  <c r="AN37" i="4" s="1"/>
  <c r="AE36" i="4"/>
  <c r="AJ36" i="4" s="1"/>
  <c r="AO36" i="4" s="1"/>
  <c r="T6" i="4"/>
  <c r="T7" i="4"/>
  <c r="T17" i="4"/>
  <c r="T18" i="4"/>
  <c r="T19" i="4"/>
  <c r="T20" i="4"/>
  <c r="T21" i="4"/>
  <c r="T22" i="4"/>
  <c r="T23" i="4"/>
  <c r="T24" i="4"/>
  <c r="T25" i="4"/>
  <c r="T26" i="4"/>
  <c r="T27" i="4"/>
  <c r="T29" i="4"/>
  <c r="T30" i="4"/>
  <c r="T31" i="4"/>
  <c r="T32" i="4"/>
  <c r="T33" i="4"/>
  <c r="T34" i="4"/>
  <c r="T35" i="4"/>
  <c r="S7" i="4"/>
  <c r="S8" i="4"/>
  <c r="S16" i="4"/>
  <c r="S17" i="4"/>
  <c r="S18" i="4"/>
  <c r="S19" i="4"/>
  <c r="S20" i="4"/>
  <c r="S21" i="4"/>
  <c r="S22" i="4"/>
  <c r="S23" i="4"/>
  <c r="S24" i="4"/>
  <c r="S25" i="4"/>
  <c r="S26" i="4"/>
  <c r="S27" i="4"/>
  <c r="S29" i="4"/>
  <c r="S30" i="4"/>
  <c r="S31" i="4"/>
  <c r="S32" i="4"/>
  <c r="S33" i="4"/>
  <c r="S34" i="4"/>
  <c r="S35" i="4"/>
  <c r="S6" i="4"/>
  <c r="R7" i="4"/>
  <c r="R8" i="4"/>
  <c r="R17" i="4"/>
  <c r="R18" i="4"/>
  <c r="R19" i="4"/>
  <c r="R20" i="4"/>
  <c r="R21" i="4"/>
  <c r="R22" i="4"/>
  <c r="R23" i="4"/>
  <c r="R24" i="4"/>
  <c r="R25" i="4"/>
  <c r="R26" i="4"/>
  <c r="R27" i="4"/>
  <c r="R29" i="4"/>
  <c r="R30" i="4"/>
  <c r="R31" i="4"/>
  <c r="R32" i="4"/>
  <c r="R33" i="4"/>
  <c r="R34" i="4"/>
  <c r="R35" i="4"/>
  <c r="R6" i="4"/>
  <c r="Q7" i="4"/>
  <c r="Q8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5" i="4"/>
  <c r="AE15" i="4" s="1"/>
  <c r="U16" i="4"/>
  <c r="U17" i="4"/>
  <c r="AE17" i="4" s="1"/>
  <c r="U18" i="4"/>
  <c r="AE18" i="4" s="1"/>
  <c r="U19" i="4"/>
  <c r="Z19" i="4" s="1"/>
  <c r="U20" i="4"/>
  <c r="U21" i="4"/>
  <c r="AE21" i="4" s="1"/>
  <c r="U22" i="4"/>
  <c r="Z22" i="4" s="1"/>
  <c r="U23" i="4"/>
  <c r="AE23" i="4" s="1"/>
  <c r="U24" i="4"/>
  <c r="U25" i="4"/>
  <c r="AE25" i="4" s="1"/>
  <c r="U26" i="4"/>
  <c r="AE26" i="4" s="1"/>
  <c r="U27" i="4"/>
  <c r="Z27" i="4" s="1"/>
  <c r="U29" i="4"/>
  <c r="U30" i="4"/>
  <c r="AE30" i="4" s="1"/>
  <c r="U31" i="4"/>
  <c r="AE31" i="4" s="1"/>
  <c r="U32" i="4"/>
  <c r="AE32" i="4" s="1"/>
  <c r="U33" i="4"/>
  <c r="U34" i="4"/>
  <c r="AE34" i="4" s="1"/>
  <c r="U35" i="4"/>
  <c r="Z35" i="4" s="1"/>
  <c r="U6" i="4"/>
  <c r="Z6" i="4" s="1"/>
  <c r="AE6" i="4" l="1"/>
  <c r="AE13" i="4"/>
  <c r="Z26" i="4"/>
  <c r="Z15" i="4"/>
  <c r="AE35" i="4"/>
  <c r="AE22" i="4"/>
  <c r="AE10" i="4"/>
  <c r="Z31" i="4"/>
  <c r="Z18" i="4"/>
  <c r="Z23" i="4"/>
  <c r="AE19" i="4"/>
  <c r="AE9" i="4"/>
  <c r="Z32" i="4"/>
  <c r="AE27" i="4"/>
  <c r="AE33" i="4"/>
  <c r="Z33" i="4"/>
  <c r="AE29" i="4"/>
  <c r="Z29" i="4"/>
  <c r="AE24" i="4"/>
  <c r="Z24" i="4"/>
  <c r="AE20" i="4"/>
  <c r="Z20" i="4"/>
  <c r="AE16" i="4"/>
  <c r="Z16" i="4"/>
  <c r="AE11" i="4"/>
  <c r="Z11" i="4"/>
  <c r="AE7" i="4"/>
  <c r="Z7" i="4"/>
  <c r="Z34" i="4"/>
  <c r="Z30" i="4"/>
  <c r="Z25" i="4"/>
  <c r="Z21" i="4"/>
  <c r="Z17" i="4"/>
  <c r="Z12" i="4"/>
  <c r="Z8" i="4"/>
  <c r="D12" i="4"/>
  <c r="E13" i="4"/>
  <c r="D13" i="4" s="1"/>
  <c r="E15" i="4"/>
  <c r="D15" i="4" s="1"/>
  <c r="E16" i="4"/>
  <c r="D16" i="4" s="1"/>
  <c r="E17" i="4"/>
  <c r="D17" i="4" s="1"/>
  <c r="AD11" i="4" l="1"/>
  <c r="AD12" i="4"/>
  <c r="AD13" i="4"/>
  <c r="AD15" i="4"/>
  <c r="AD16" i="4"/>
  <c r="AD17" i="4"/>
  <c r="AD18" i="4"/>
  <c r="AD19" i="4"/>
  <c r="AD20" i="4"/>
  <c r="AD22" i="4"/>
  <c r="Y11" i="4"/>
  <c r="Y12" i="4"/>
  <c r="Y13" i="4"/>
  <c r="Y15" i="4"/>
  <c r="Y16" i="4"/>
  <c r="Y17" i="4"/>
  <c r="Y18" i="4"/>
  <c r="Y19" i="4"/>
  <c r="Y20" i="4"/>
  <c r="Y22" i="4"/>
  <c r="AD7" i="4"/>
  <c r="T8" i="4"/>
  <c r="Y9" i="4"/>
  <c r="AA7" i="4"/>
  <c r="AA9" i="4"/>
  <c r="V11" i="4"/>
  <c r="AA12" i="4"/>
  <c r="V13" i="4"/>
  <c r="AA15" i="4"/>
  <c r="AA16" i="4"/>
  <c r="V17" i="4"/>
  <c r="V18" i="4"/>
  <c r="V19" i="4"/>
  <c r="AA20" i="4"/>
  <c r="AA21" i="4"/>
  <c r="AA22" i="4"/>
  <c r="AA23" i="4"/>
  <c r="V24" i="4"/>
  <c r="AA25" i="4"/>
  <c r="AA26" i="4"/>
  <c r="AA27" i="4"/>
  <c r="AA30" i="4"/>
  <c r="AA32" i="4"/>
  <c r="AA34" i="4"/>
  <c r="AC6" i="4"/>
  <c r="AA6" i="4"/>
  <c r="V9" i="4" l="1"/>
  <c r="AA33" i="4"/>
  <c r="V33" i="4"/>
  <c r="AA29" i="4"/>
  <c r="V29" i="4"/>
  <c r="AB32" i="4"/>
  <c r="W32" i="4"/>
  <c r="AB27" i="4"/>
  <c r="W27" i="4"/>
  <c r="AB23" i="4"/>
  <c r="W23" i="4"/>
  <c r="AB19" i="4"/>
  <c r="W19" i="4"/>
  <c r="AB10" i="4"/>
  <c r="W10" i="4"/>
  <c r="AC35" i="4"/>
  <c r="X35" i="4"/>
  <c r="AC31" i="4"/>
  <c r="X31" i="4"/>
  <c r="AC26" i="4"/>
  <c r="X26" i="4"/>
  <c r="AC22" i="4"/>
  <c r="X22" i="4"/>
  <c r="AC18" i="4"/>
  <c r="X18" i="4"/>
  <c r="AC13" i="4"/>
  <c r="X13" i="4"/>
  <c r="AC9" i="4"/>
  <c r="X9" i="4"/>
  <c r="AD34" i="4"/>
  <c r="Y34" i="4"/>
  <c r="AD30" i="4"/>
  <c r="Y30" i="4"/>
  <c r="AD25" i="4"/>
  <c r="Y25" i="4"/>
  <c r="AD10" i="4"/>
  <c r="Y10" i="4"/>
  <c r="V27" i="4"/>
  <c r="W29" i="4"/>
  <c r="AB29" i="4"/>
  <c r="AB6" i="4"/>
  <c r="W6" i="4"/>
  <c r="AA8" i="4"/>
  <c r="V8" i="4"/>
  <c r="W33" i="4"/>
  <c r="AB33" i="4"/>
  <c r="W24" i="4"/>
  <c r="AB24" i="4"/>
  <c r="W20" i="4"/>
  <c r="AB20" i="4"/>
  <c r="W16" i="4"/>
  <c r="AB16" i="4"/>
  <c r="W11" i="4"/>
  <c r="AB11" i="4"/>
  <c r="W7" i="4"/>
  <c r="AB7" i="4"/>
  <c r="X32" i="4"/>
  <c r="AC32" i="4"/>
  <c r="X27" i="4"/>
  <c r="AC27" i="4"/>
  <c r="X23" i="4"/>
  <c r="AC23" i="4"/>
  <c r="X15" i="4"/>
  <c r="AC15" i="4"/>
  <c r="X10" i="4"/>
  <c r="AC10" i="4"/>
  <c r="Y35" i="4"/>
  <c r="AD35" i="4"/>
  <c r="Y31" i="4"/>
  <c r="AD31" i="4"/>
  <c r="Y26" i="4"/>
  <c r="AD26" i="4"/>
  <c r="AD21" i="4"/>
  <c r="Y21" i="4"/>
  <c r="V30" i="4"/>
  <c r="X6" i="4"/>
  <c r="AD6" i="4"/>
  <c r="Y6" i="4"/>
  <c r="AA10" i="4"/>
  <c r="V10" i="4"/>
  <c r="AB35" i="4"/>
  <c r="W35" i="4"/>
  <c r="AB31" i="4"/>
  <c r="W31" i="4"/>
  <c r="AB26" i="4"/>
  <c r="W26" i="4"/>
  <c r="AB22" i="4"/>
  <c r="W22" i="4"/>
  <c r="AB18" i="4"/>
  <c r="W18" i="4"/>
  <c r="AB13" i="4"/>
  <c r="W13" i="4"/>
  <c r="AB9" i="4"/>
  <c r="W9" i="4"/>
  <c r="AC34" i="4"/>
  <c r="X34" i="4"/>
  <c r="AC30" i="4"/>
  <c r="X30" i="4"/>
  <c r="AC25" i="4"/>
  <c r="X25" i="4"/>
  <c r="AC21" i="4"/>
  <c r="X21" i="4"/>
  <c r="AC17" i="4"/>
  <c r="X17" i="4"/>
  <c r="AC12" i="4"/>
  <c r="X12" i="4"/>
  <c r="AC8" i="4"/>
  <c r="X8" i="4"/>
  <c r="AD33" i="4"/>
  <c r="Y33" i="4"/>
  <c r="AD29" i="4"/>
  <c r="Y29" i="4"/>
  <c r="AD24" i="4"/>
  <c r="Y24" i="4"/>
  <c r="V34" i="4"/>
  <c r="AA35" i="4"/>
  <c r="V35" i="4"/>
  <c r="AA31" i="4"/>
  <c r="V31" i="4"/>
  <c r="AB34" i="4"/>
  <c r="W34" i="4"/>
  <c r="AB30" i="4"/>
  <c r="W30" i="4"/>
  <c r="AB25" i="4"/>
  <c r="W25" i="4"/>
  <c r="AB21" i="4"/>
  <c r="W21" i="4"/>
  <c r="AB17" i="4"/>
  <c r="W17" i="4"/>
  <c r="AB12" i="4"/>
  <c r="W12" i="4"/>
  <c r="AB8" i="4"/>
  <c r="W8" i="4"/>
  <c r="AC33" i="4"/>
  <c r="X33" i="4"/>
  <c r="AC29" i="4"/>
  <c r="X29" i="4"/>
  <c r="AC24" i="4"/>
  <c r="X24" i="4"/>
  <c r="AC20" i="4"/>
  <c r="X20" i="4"/>
  <c r="AC16" i="4"/>
  <c r="X16" i="4"/>
  <c r="AC11" i="4"/>
  <c r="X11" i="4"/>
  <c r="AC7" i="4"/>
  <c r="X7" i="4"/>
  <c r="AD32" i="4"/>
  <c r="Y32" i="4"/>
  <c r="AD27" i="4"/>
  <c r="Y27" i="4"/>
  <c r="AD23" i="4"/>
  <c r="Y23" i="4"/>
  <c r="AD8" i="4"/>
  <c r="Y8" i="4"/>
  <c r="V32" i="4"/>
  <c r="V7" i="4"/>
  <c r="X19" i="4"/>
  <c r="AC19" i="4"/>
  <c r="AD9" i="4"/>
  <c r="Y7" i="4"/>
  <c r="V15" i="4"/>
  <c r="AA18" i="4"/>
  <c r="AA19" i="4"/>
  <c r="V20" i="4"/>
  <c r="V25" i="4"/>
  <c r="V26" i="4"/>
  <c r="AA24" i="4"/>
  <c r="V23" i="4"/>
  <c r="V22" i="4"/>
  <c r="V21" i="4"/>
  <c r="AA17" i="4"/>
  <c r="V16" i="4"/>
  <c r="AA13" i="4"/>
  <c r="V12" i="4"/>
  <c r="AA11" i="4"/>
  <c r="K7" i="4" l="1"/>
  <c r="K8" i="4"/>
  <c r="J7" i="4"/>
  <c r="J8" i="4"/>
  <c r="J9" i="4"/>
  <c r="J10" i="4"/>
  <c r="J11" i="4"/>
  <c r="J12" i="4"/>
  <c r="J13" i="4"/>
  <c r="AJ20" i="4"/>
  <c r="AO20" i="4" s="1"/>
  <c r="AJ24" i="4"/>
  <c r="AO24" i="4" s="1"/>
  <c r="J6" i="4"/>
  <c r="K6" i="4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E27" i="4"/>
  <c r="D27" i="4" s="1"/>
  <c r="D29" i="4"/>
  <c r="D30" i="4"/>
  <c r="D31" i="4"/>
  <c r="D32" i="4"/>
  <c r="D33" i="4"/>
  <c r="D34" i="4"/>
  <c r="D35" i="4"/>
  <c r="E18" i="4"/>
  <c r="D18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16" i="4" l="1"/>
  <c r="AO16" i="4" s="1"/>
  <c r="AJ11" i="4"/>
  <c r="AO11" i="4" s="1"/>
  <c r="AJ7" i="4"/>
  <c r="AO7" i="4" s="1"/>
  <c r="AJ34" i="4"/>
  <c r="AO34" i="4" s="1"/>
  <c r="AJ30" i="4"/>
  <c r="AO30" i="4" s="1"/>
  <c r="AJ25" i="4"/>
  <c r="AO25" i="4" s="1"/>
  <c r="AJ21" i="4"/>
  <c r="AO21" i="4" s="1"/>
  <c r="AJ17" i="4"/>
  <c r="AO17" i="4" s="1"/>
  <c r="AH33" i="4"/>
  <c r="AM33" i="4" s="1"/>
  <c r="AJ33" i="4"/>
  <c r="AO33" i="4" s="1"/>
  <c r="AI29" i="4"/>
  <c r="AN29" i="4" s="1"/>
  <c r="AJ29" i="4"/>
  <c r="AO29" i="4" s="1"/>
  <c r="AJ32" i="4"/>
  <c r="AO32" i="4" s="1"/>
  <c r="AJ23" i="4"/>
  <c r="AO23" i="4" s="1"/>
  <c r="AJ15" i="4"/>
  <c r="AO15" i="4" s="1"/>
  <c r="AJ35" i="4"/>
  <c r="AO35" i="4" s="1"/>
  <c r="AJ31" i="4"/>
  <c r="AO31" i="4" s="1"/>
  <c r="AJ26" i="4"/>
  <c r="AO26" i="4" s="1"/>
  <c r="AJ18" i="4"/>
  <c r="AO18" i="4" s="1"/>
  <c r="AJ13" i="4"/>
  <c r="AO13" i="4" s="1"/>
  <c r="AJ9" i="4"/>
  <c r="AO9" i="4" s="1"/>
  <c r="AT14" i="4" s="1"/>
  <c r="AF6" i="4"/>
  <c r="AK6" i="4" s="1"/>
  <c r="AJ6" i="4"/>
  <c r="AO6" i="4" s="1"/>
  <c r="AJ27" i="4"/>
  <c r="AO27" i="4" s="1"/>
  <c r="AJ19" i="4"/>
  <c r="AO19" i="4" s="1"/>
  <c r="AJ10" i="4"/>
  <c r="AO10" i="4" s="1"/>
  <c r="AI12" i="4"/>
  <c r="AN12" i="4" s="1"/>
  <c r="AJ12" i="4"/>
  <c r="AO12" i="4" s="1"/>
  <c r="AH8" i="4"/>
  <c r="AM8" i="4" s="1"/>
  <c r="AJ8" i="4"/>
  <c r="AO8" i="4" s="1"/>
  <c r="AJ22" i="4"/>
  <c r="AO22" i="4" s="1"/>
  <c r="AF7" i="4"/>
  <c r="AK7" i="4" s="1"/>
  <c r="AH35" i="4"/>
  <c r="AM35" i="4" s="1"/>
  <c r="AI34" i="4"/>
  <c r="AN34" i="4" s="1"/>
  <c r="AH32" i="4"/>
  <c r="AM32" i="4" s="1"/>
  <c r="AF31" i="4"/>
  <c r="AK31" i="4" s="1"/>
  <c r="AI30" i="4"/>
  <c r="AN30" i="4" s="1"/>
  <c r="AI27" i="4"/>
  <c r="AN27" i="4" s="1"/>
  <c r="AI26" i="4"/>
  <c r="AN26" i="4" s="1"/>
  <c r="AG25" i="4"/>
  <c r="AL25" i="4" s="1"/>
  <c r="AI24" i="4"/>
  <c r="AN24" i="4" s="1"/>
  <c r="AF23" i="4"/>
  <c r="AK23" i="4" s="1"/>
  <c r="AF22" i="4"/>
  <c r="AK22" i="4" s="1"/>
  <c r="AF21" i="4"/>
  <c r="AK21" i="4" s="1"/>
  <c r="AI19" i="4"/>
  <c r="AN19" i="4" s="1"/>
  <c r="AH18" i="4"/>
  <c r="AM18" i="4" s="1"/>
  <c r="AI17" i="4"/>
  <c r="AN17" i="4" s="1"/>
  <c r="AI15" i="4"/>
  <c r="AN15" i="4" s="1"/>
  <c r="AG10" i="4"/>
  <c r="AL10" i="4" s="1"/>
  <c r="AG9" i="4"/>
  <c r="AL9" i="4" s="1"/>
  <c r="AH7" i="4"/>
  <c r="AM7" i="4" s="1"/>
  <c r="AI20" i="4"/>
  <c r="AN20" i="4" s="1"/>
  <c r="AI16" i="4"/>
  <c r="AN16" i="4" s="1"/>
  <c r="AI11" i="4"/>
  <c r="AN11" i="4" s="1"/>
  <c r="AG29" i="4"/>
  <c r="AL29" i="4" s="1"/>
  <c r="AH27" i="4"/>
  <c r="AM27" i="4" s="1"/>
  <c r="AF30" i="4"/>
  <c r="AK30" i="4" s="1"/>
  <c r="AG17" i="4"/>
  <c r="AL17" i="4" s="1"/>
  <c r="AH11" i="4"/>
  <c r="AM11" i="4" s="1"/>
  <c r="AF18" i="4"/>
  <c r="AK18" i="4" s="1"/>
  <c r="AG32" i="4"/>
  <c r="AL32" i="4" s="1"/>
  <c r="AH26" i="4"/>
  <c r="AM26" i="4" s="1"/>
  <c r="AI10" i="4"/>
  <c r="AN10" i="4" s="1"/>
  <c r="AG31" i="4"/>
  <c r="AL31" i="4" s="1"/>
  <c r="AH25" i="4"/>
  <c r="AM25" i="4" s="1"/>
  <c r="AF34" i="4"/>
  <c r="AK34" i="4" s="1"/>
  <c r="AF24" i="4"/>
  <c r="AK24" i="4" s="1"/>
  <c r="AG33" i="4"/>
  <c r="AL33" i="4" s="1"/>
  <c r="AH23" i="4"/>
  <c r="AM23" i="4" s="1"/>
  <c r="AG30" i="4"/>
  <c r="AL30" i="4" s="1"/>
  <c r="AH24" i="4"/>
  <c r="AM24" i="4" s="1"/>
  <c r="AI8" i="4"/>
  <c r="AN8" i="4" s="1"/>
  <c r="AF29" i="4"/>
  <c r="AK29" i="4" s="1"/>
  <c r="AH31" i="4"/>
  <c r="AM31" i="4" s="1"/>
  <c r="AI25" i="4"/>
  <c r="AN25" i="4" s="1"/>
  <c r="AI6" i="4"/>
  <c r="AN6" i="4" s="1"/>
  <c r="AI33" i="4"/>
  <c r="AN33" i="4" s="1"/>
  <c r="AF25" i="4"/>
  <c r="AK25" i="4" s="1"/>
  <c r="AG24" i="4"/>
  <c r="AL24" i="4" s="1"/>
  <c r="AH15" i="4"/>
  <c r="AM15" i="4" s="1"/>
  <c r="AF35" i="4"/>
  <c r="AK35" i="4" s="1"/>
  <c r="AG8" i="4"/>
  <c r="AL8" i="4" s="1"/>
  <c r="AI32" i="4"/>
  <c r="AN32" i="4" s="1"/>
  <c r="AF26" i="4"/>
  <c r="AK26" i="4" s="1"/>
  <c r="AG23" i="4"/>
  <c r="AL23" i="4" s="1"/>
  <c r="AF8" i="4"/>
  <c r="AK8" i="4" s="1"/>
  <c r="AG22" i="4"/>
  <c r="AL22" i="4" s="1"/>
  <c r="AH17" i="4"/>
  <c r="AM17" i="4" s="1"/>
  <c r="AH19" i="4"/>
  <c r="AM19" i="4" s="1"/>
  <c r="AF17" i="4"/>
  <c r="AK17" i="4" s="1"/>
  <c r="AG20" i="4"/>
  <c r="AL20" i="4" s="1"/>
  <c r="AH10" i="4"/>
  <c r="AM10" i="4" s="1"/>
  <c r="AG21" i="4"/>
  <c r="AL21" i="4" s="1"/>
  <c r="AH16" i="4"/>
  <c r="AM16" i="4" s="1"/>
  <c r="AF20" i="4"/>
  <c r="AK20" i="4" s="1"/>
  <c r="AG27" i="4"/>
  <c r="AL27" i="4" s="1"/>
  <c r="AH22" i="4"/>
  <c r="AM22" i="4" s="1"/>
  <c r="AF27" i="4"/>
  <c r="AK27" i="4" s="1"/>
  <c r="AG35" i="4"/>
  <c r="AL35" i="4" s="1"/>
  <c r="AH30" i="4"/>
  <c r="AM30" i="4" s="1"/>
  <c r="AI22" i="4"/>
  <c r="AN22" i="4" s="1"/>
  <c r="AI18" i="4"/>
  <c r="AN18" i="4" s="1"/>
  <c r="AI13" i="4"/>
  <c r="AN13" i="4" s="1"/>
  <c r="AI9" i="4"/>
  <c r="AN9" i="4" s="1"/>
  <c r="AS14" i="4" s="1"/>
  <c r="AF9" i="4"/>
  <c r="AK9" i="4" s="1"/>
  <c r="AG16" i="4"/>
  <c r="AL16" i="4" s="1"/>
  <c r="AI35" i="4"/>
  <c r="AN35" i="4" s="1"/>
  <c r="AG34" i="4"/>
  <c r="AL34" i="4" s="1"/>
  <c r="AH29" i="4"/>
  <c r="AM29" i="4" s="1"/>
  <c r="AI23" i="4"/>
  <c r="AN23" i="4" s="1"/>
  <c r="AF12" i="4"/>
  <c r="AK12" i="4" s="1"/>
  <c r="AG15" i="4"/>
  <c r="AL15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G11" i="4"/>
  <c r="AL11" i="4" s="1"/>
  <c r="AI31" i="4"/>
  <c r="AN31" i="4" s="1"/>
  <c r="AG12" i="4"/>
  <c r="AL12" i="4" s="1"/>
  <c r="AG19" i="4"/>
  <c r="AL19" i="4" s="1"/>
  <c r="AH13" i="4"/>
  <c r="AM13" i="4" s="1"/>
  <c r="AG6" i="4"/>
  <c r="AL6" i="4" s="1"/>
  <c r="AG26" i="4"/>
  <c r="AL26" i="4" s="1"/>
  <c r="AH21" i="4"/>
  <c r="AM21" i="4" s="1"/>
  <c r="AF32" i="4"/>
  <c r="AK32" i="4" s="1"/>
  <c r="AF13" i="4"/>
  <c r="AK13" i="4" s="1"/>
  <c r="AG7" i="4"/>
  <c r="AL7" i="4" s="1"/>
  <c r="AH20" i="4"/>
  <c r="AM20" i="4" s="1"/>
  <c r="AF33" i="4"/>
  <c r="AK33" i="4" s="1"/>
  <c r="AF10" i="4"/>
  <c r="AK10" i="4" s="1"/>
  <c r="AH34" i="4"/>
  <c r="AM34" i="4" s="1"/>
  <c r="AF19" i="4"/>
  <c r="AK19" i="4" s="1"/>
  <c r="AF16" i="4"/>
  <c r="AK16" i="4" s="1"/>
  <c r="AI21" i="4"/>
  <c r="AN21" i="4" s="1"/>
  <c r="AG18" i="4"/>
  <c r="AL18" i="4" s="1"/>
  <c r="AH12" i="4"/>
  <c r="AM12" i="4" s="1"/>
  <c r="AF15" i="4"/>
  <c r="AK15" i="4" s="1"/>
  <c r="AR14" i="4" l="1"/>
  <c r="AY9" i="4"/>
  <c r="AP14" i="4"/>
  <c r="AQ14" i="4"/>
  <c r="AW9" i="4"/>
  <c r="AP28" i="4"/>
  <c r="AR28" i="4"/>
  <c r="AV9" i="4"/>
  <c r="AU9" i="4"/>
  <c r="AQ28" i="4"/>
  <c r="AT28" i="4"/>
  <c r="AS28" i="4"/>
  <c r="AQ19" i="4"/>
  <c r="AV19" i="4" s="1"/>
  <c r="AS19" i="4"/>
  <c r="AX19" i="4" s="1"/>
  <c r="AX13" i="4" s="1"/>
  <c r="AT19" i="4"/>
  <c r="AY19" i="4" s="1"/>
  <c r="AR19" i="4"/>
  <c r="AW19" i="4" s="1"/>
  <c r="AP38" i="4"/>
  <c r="AP37" i="4"/>
  <c r="AU37" i="4" s="1"/>
  <c r="AP36" i="4"/>
  <c r="AT38" i="4"/>
  <c r="AT37" i="4"/>
  <c r="AY37" i="4" s="1"/>
  <c r="AT36" i="4"/>
  <c r="AS36" i="4"/>
  <c r="AS37" i="4"/>
  <c r="AX37" i="4" s="1"/>
  <c r="AS38" i="4"/>
  <c r="AT13" i="4"/>
  <c r="AT17" i="4"/>
  <c r="AT18" i="4"/>
  <c r="AT15" i="4"/>
  <c r="AT16" i="4"/>
  <c r="AR37" i="4"/>
  <c r="AW37" i="4" s="1"/>
  <c r="AR36" i="4"/>
  <c r="AR38" i="4"/>
  <c r="AQ37" i="4"/>
  <c r="AV37" i="4" s="1"/>
  <c r="AQ36" i="4"/>
  <c r="AQ38" i="4"/>
  <c r="AT34" i="4"/>
  <c r="AY34" i="4" s="1"/>
  <c r="AT20" i="4"/>
  <c r="AT21" i="4"/>
  <c r="AT12" i="4"/>
  <c r="AT22" i="4"/>
  <c r="AT30" i="4"/>
  <c r="AY30" i="4" s="1"/>
  <c r="AT27" i="4"/>
  <c r="AT24" i="4"/>
  <c r="AT26" i="4"/>
  <c r="AT23" i="4"/>
  <c r="AT29" i="4"/>
  <c r="AT25" i="4"/>
  <c r="AY25" i="4" s="1"/>
  <c r="AR17" i="4"/>
  <c r="AR34" i="4"/>
  <c r="AW34" i="4" s="1"/>
  <c r="AR30" i="4"/>
  <c r="AW30" i="4" s="1"/>
  <c r="AR27" i="4"/>
  <c r="AR24" i="4"/>
  <c r="AR13" i="4"/>
  <c r="AR16" i="4"/>
  <c r="AR31" i="4"/>
  <c r="AR26" i="4"/>
  <c r="AR18" i="4"/>
  <c r="AT31" i="4"/>
  <c r="AT32" i="4"/>
  <c r="AT33" i="4"/>
  <c r="AR15" i="4"/>
  <c r="AR32" i="4"/>
  <c r="AR12" i="4"/>
  <c r="AR20" i="4"/>
  <c r="AR21" i="4"/>
  <c r="AR29" i="4"/>
  <c r="AR22" i="4"/>
  <c r="AR23" i="4"/>
  <c r="AR25" i="4"/>
  <c r="AW25" i="4" s="1"/>
  <c r="AR35" i="4"/>
  <c r="AT35" i="4"/>
  <c r="AR33" i="4"/>
  <c r="AS16" i="4"/>
  <c r="AS20" i="4"/>
  <c r="AS24" i="4"/>
  <c r="AS29" i="4"/>
  <c r="AS33" i="4"/>
  <c r="AS13" i="4"/>
  <c r="AS27" i="4"/>
  <c r="AS17" i="4"/>
  <c r="AS21" i="4"/>
  <c r="AS25" i="4"/>
  <c r="AX25" i="4" s="1"/>
  <c r="AS30" i="4"/>
  <c r="AX30" i="4" s="1"/>
  <c r="AS34" i="4"/>
  <c r="AX34" i="4" s="1"/>
  <c r="AS15" i="4"/>
  <c r="AS23" i="4"/>
  <c r="AS12" i="4"/>
  <c r="AS18" i="4"/>
  <c r="AS22" i="4"/>
  <c r="AS26" i="4"/>
  <c r="AS31" i="4"/>
  <c r="AS35" i="4"/>
  <c r="AS32" i="4"/>
  <c r="AQ16" i="4"/>
  <c r="AQ20" i="4"/>
  <c r="AQ24" i="4"/>
  <c r="AQ29" i="4"/>
  <c r="AQ33" i="4"/>
  <c r="AQ13" i="4"/>
  <c r="AQ27" i="4"/>
  <c r="AQ17" i="4"/>
  <c r="AQ21" i="4"/>
  <c r="AQ25" i="4"/>
  <c r="AV25" i="4" s="1"/>
  <c r="AQ30" i="4"/>
  <c r="AV30" i="4" s="1"/>
  <c r="AQ34" i="4"/>
  <c r="AV34" i="4" s="1"/>
  <c r="AQ15" i="4"/>
  <c r="AQ32" i="4"/>
  <c r="AQ18" i="4"/>
  <c r="AQ22" i="4"/>
  <c r="AQ26" i="4"/>
  <c r="AQ31" i="4"/>
  <c r="AQ35" i="4"/>
  <c r="AQ23" i="4"/>
  <c r="AQ12" i="4"/>
  <c r="AP15" i="4"/>
  <c r="AP12" i="4"/>
  <c r="AP13" i="4"/>
  <c r="AP16" i="4"/>
  <c r="AP33" i="4"/>
  <c r="AP31" i="4"/>
  <c r="AP32" i="4"/>
  <c r="AP27" i="4"/>
  <c r="AP17" i="4"/>
  <c r="AP24" i="4"/>
  <c r="AP21" i="4"/>
  <c r="AP19" i="4"/>
  <c r="AU19" i="4" s="1"/>
  <c r="AP35" i="4"/>
  <c r="AP25" i="4"/>
  <c r="AU25" i="4" s="1"/>
  <c r="AP34" i="4"/>
  <c r="AU34" i="4" s="1"/>
  <c r="AP22" i="4"/>
  <c r="AP23" i="4"/>
  <c r="AP26" i="4"/>
  <c r="AP29" i="4"/>
  <c r="AP30" i="4"/>
  <c r="AU30" i="4" s="1"/>
  <c r="AP20" i="4"/>
  <c r="AP18" i="4"/>
  <c r="AX12" i="4" l="1"/>
  <c r="AX14" i="4"/>
  <c r="AX17" i="4"/>
  <c r="AY36" i="4"/>
  <c r="AY35" i="4"/>
  <c r="AV22" i="4"/>
  <c r="AV23" i="4"/>
  <c r="AV24" i="4"/>
  <c r="BA24" i="4" s="1"/>
  <c r="AV21" i="4"/>
  <c r="AV20" i="4"/>
  <c r="AU14" i="4"/>
  <c r="AZ14" i="4" s="1"/>
  <c r="AU18" i="4"/>
  <c r="AU15" i="4"/>
  <c r="AU12" i="4"/>
  <c r="AU16" i="4"/>
  <c r="AU13" i="4"/>
  <c r="AU17" i="4"/>
  <c r="AW23" i="4"/>
  <c r="AW24" i="4"/>
  <c r="AW21" i="4"/>
  <c r="AW20" i="4"/>
  <c r="AW22" i="4"/>
  <c r="AV13" i="4"/>
  <c r="AV17" i="4"/>
  <c r="BA17" i="4" s="1"/>
  <c r="AV14" i="4"/>
  <c r="AV18" i="4"/>
  <c r="AV15" i="4"/>
  <c r="AV12" i="4"/>
  <c r="AV16" i="4"/>
  <c r="AU33" i="4"/>
  <c r="AU31" i="4"/>
  <c r="AU32" i="4"/>
  <c r="AU21" i="4"/>
  <c r="AU20" i="4"/>
  <c r="AU22" i="4"/>
  <c r="AU23" i="4"/>
  <c r="AU24" i="4"/>
  <c r="AX27" i="4"/>
  <c r="AX28" i="4"/>
  <c r="BC28" i="4" s="1"/>
  <c r="AX29" i="4"/>
  <c r="AX26" i="4"/>
  <c r="AW32" i="4"/>
  <c r="AW33" i="4"/>
  <c r="AW31" i="4"/>
  <c r="AY21" i="4"/>
  <c r="AY20" i="4"/>
  <c r="BD20" i="4" s="1"/>
  <c r="AY22" i="4"/>
  <c r="AY23" i="4"/>
  <c r="AY24" i="4"/>
  <c r="AX15" i="4"/>
  <c r="AU27" i="4"/>
  <c r="AU28" i="4"/>
  <c r="AU29" i="4"/>
  <c r="AU26" i="4"/>
  <c r="AV32" i="4"/>
  <c r="AV33" i="4"/>
  <c r="BA33" i="4" s="1"/>
  <c r="AV31" i="4"/>
  <c r="AX36" i="4"/>
  <c r="AX35" i="4"/>
  <c r="AW13" i="4"/>
  <c r="AW17" i="4"/>
  <c r="AW14" i="4"/>
  <c r="BB14" i="4" s="1"/>
  <c r="AW18" i="4"/>
  <c r="BB18" i="4" s="1"/>
  <c r="AW15" i="4"/>
  <c r="AW12" i="4"/>
  <c r="AW16" i="4"/>
  <c r="AV27" i="4"/>
  <c r="BA27" i="4" s="1"/>
  <c r="AV28" i="4"/>
  <c r="BA28" i="4" s="1"/>
  <c r="AV29" i="4"/>
  <c r="AV26" i="4"/>
  <c r="AX31" i="4"/>
  <c r="AX32" i="4"/>
  <c r="AX33" i="4"/>
  <c r="AY27" i="4"/>
  <c r="AY28" i="4"/>
  <c r="BD28" i="4" s="1"/>
  <c r="AY29" i="4"/>
  <c r="AY26" i="4"/>
  <c r="AU36" i="4"/>
  <c r="AU35" i="4"/>
  <c r="AV36" i="4"/>
  <c r="AV35" i="4"/>
  <c r="AW27" i="4"/>
  <c r="AW28" i="4"/>
  <c r="AW29" i="4"/>
  <c r="AW26" i="4"/>
  <c r="AW36" i="4"/>
  <c r="AW35" i="4"/>
  <c r="BB35" i="4" s="1"/>
  <c r="AY33" i="4"/>
  <c r="AY31" i="4"/>
  <c r="AY32" i="4"/>
  <c r="AX24" i="4"/>
  <c r="AX21" i="4"/>
  <c r="AX20" i="4"/>
  <c r="AX22" i="4"/>
  <c r="AX23" i="4"/>
  <c r="AY15" i="4"/>
  <c r="AY12" i="4"/>
  <c r="AY16" i="4"/>
  <c r="AY13" i="4"/>
  <c r="AY17" i="4"/>
  <c r="AY14" i="4"/>
  <c r="BD14" i="4" s="1"/>
  <c r="AY18" i="4"/>
  <c r="AX18" i="4"/>
  <c r="AX16" i="4"/>
  <c r="BC14" i="4"/>
  <c r="BA14" i="4"/>
  <c r="BB28" i="4"/>
  <c r="BD19" i="4"/>
  <c r="BA32" i="4"/>
  <c r="BA34" i="4"/>
  <c r="BA25" i="4"/>
  <c r="BA29" i="4"/>
  <c r="BA30" i="4"/>
  <c r="BC12" i="4"/>
  <c r="BA26" i="4"/>
  <c r="BA31" i="4"/>
  <c r="BD31" i="4"/>
  <c r="BC37" i="4"/>
  <c r="BA35" i="4"/>
  <c r="BB32" i="4" l="1"/>
  <c r="BB34" i="4"/>
  <c r="BD33" i="4"/>
  <c r="BB33" i="4"/>
  <c r="BD34" i="4"/>
  <c r="BD22" i="4"/>
  <c r="BB37" i="4"/>
  <c r="BD21" i="4"/>
  <c r="BD24" i="4"/>
  <c r="BB16" i="4"/>
  <c r="BB19" i="4"/>
  <c r="BB21" i="4"/>
  <c r="BB25" i="4"/>
  <c r="BB22" i="4"/>
  <c r="BB20" i="4"/>
  <c r="BB23" i="4"/>
  <c r="BB24" i="4"/>
  <c r="BB12" i="4"/>
  <c r="BB13" i="4"/>
  <c r="BB30" i="4"/>
  <c r="BB27" i="4"/>
  <c r="BB29" i="4"/>
  <c r="BB15" i="4"/>
  <c r="BB36" i="4"/>
  <c r="BB31" i="4"/>
  <c r="BB26" i="4"/>
  <c r="BB17" i="4"/>
  <c r="BD36" i="4"/>
  <c r="BD37" i="4"/>
  <c r="BD27" i="4"/>
  <c r="BD29" i="4"/>
  <c r="BD30" i="4"/>
  <c r="BD35" i="4"/>
  <c r="BD26" i="4"/>
  <c r="BD23" i="4"/>
  <c r="BD25" i="4"/>
  <c r="BC36" i="4"/>
  <c r="BA37" i="4"/>
  <c r="BA36" i="4"/>
  <c r="BC13" i="4"/>
  <c r="BA16" i="4"/>
  <c r="BC17" i="4"/>
  <c r="BA15" i="4"/>
  <c r="BA13" i="4"/>
  <c r="BA12" i="4"/>
  <c r="BC31" i="4"/>
  <c r="BC16" i="4"/>
  <c r="BA22" i="4"/>
  <c r="BA20" i="4"/>
  <c r="BA18" i="4"/>
  <c r="BA19" i="4"/>
  <c r="BA23" i="4"/>
  <c r="BA21" i="4"/>
  <c r="BC21" i="4"/>
  <c r="BC22" i="4"/>
  <c r="BC20" i="4"/>
  <c r="BC19" i="4"/>
  <c r="BC23" i="4"/>
  <c r="BC18" i="4"/>
  <c r="BC15" i="4"/>
  <c r="BC27" i="4"/>
  <c r="BC34" i="4"/>
  <c r="BC25" i="4"/>
  <c r="BC26" i="4"/>
  <c r="BC29" i="4"/>
  <c r="BC24" i="4"/>
  <c r="BC30" i="4"/>
  <c r="BC35" i="4"/>
  <c r="BC33" i="4"/>
  <c r="BC32" i="4"/>
  <c r="AZ37" i="4" l="1"/>
  <c r="BD13" i="4" l="1"/>
  <c r="BD17" i="4"/>
  <c r="BD12" i="4"/>
  <c r="BD18" i="4"/>
  <c r="BD16" i="4"/>
  <c r="BD15" i="4"/>
  <c r="BD32" i="4"/>
  <c r="AZ18" i="4" l="1"/>
  <c r="AZ12" i="4"/>
  <c r="AZ17" i="4"/>
  <c r="AZ16" i="4"/>
  <c r="AZ13" i="4"/>
  <c r="AZ15" i="4"/>
  <c r="AZ19" i="4"/>
  <c r="AZ34" i="4" l="1"/>
  <c r="AZ25" i="4" l="1"/>
  <c r="AZ24" i="4"/>
  <c r="AZ22" i="4"/>
  <c r="AZ21" i="4"/>
  <c r="AZ20" i="4"/>
  <c r="AZ23" i="4"/>
  <c r="AZ29" i="4"/>
  <c r="AZ30" i="4"/>
  <c r="AZ27" i="4"/>
  <c r="AZ26" i="4"/>
  <c r="AZ28" i="4"/>
  <c r="AZ31" i="4"/>
  <c r="AZ33" i="4"/>
  <c r="AZ32" i="4"/>
  <c r="AZ35" i="4"/>
  <c r="AZ36" i="4"/>
</calcChain>
</file>

<file path=xl/sharedStrings.xml><?xml version="1.0" encoding="utf-8"?>
<sst xmlns="http://schemas.openxmlformats.org/spreadsheetml/2006/main" count="469" uniqueCount="124">
  <si>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</si>
  <si>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</si>
  <si>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</si>
  <si>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</si>
  <si>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</si>
  <si>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</si>
  <si>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</si>
  <si>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</si>
  <si>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</si>
  <si>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</si>
  <si>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</si>
  <si>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</si>
  <si>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</si>
  <si>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</si>
  <si>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</si>
  <si>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</si>
  <si>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</si>
  <si>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</si>
  <si>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</si>
  <si>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</si>
  <si>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</si>
  <si>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</si>
  <si>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</si>
  <si>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</si>
  <si>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</si>
  <si>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</si>
  <si>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</si>
  <si>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</si>
  <si>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</si>
  <si>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</si>
  <si>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</si>
  <si>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</si>
  <si>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</si>
  <si>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</si>
  <si>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</si>
  <si>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</si>
  <si>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</si>
  <si>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</si>
  <si>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</si>
  <si>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</si>
  <si>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</si>
  <si>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</si>
  <si>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</si>
  <si>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</si>
  <si>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</si>
  <si>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</si>
  <si>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</si>
  <si>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</si>
  <si>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</si>
  <si>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</si>
  <si>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</si>
  <si>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</si>
  <si>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</si>
  <si>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</si>
  <si>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</si>
  <si>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</si>
  <si>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</si>
  <si>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</si>
  <si>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</si>
  <si>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</si>
  <si>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</si>
  <si>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</si>
  <si>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</si>
  <si>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</si>
  <si>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</si>
  <si>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</si>
  <si>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</si>
  <si>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</si>
  <si>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</si>
  <si>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</si>
  <si>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</si>
  <si>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</si>
  <si>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</si>
  <si>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</si>
  <si>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</si>
  <si>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</si>
  <si>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</si>
  <si>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</si>
  <si>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</si>
  <si>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</si>
  <si>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</si>
  <si>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</si>
  <si>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</si>
  <si>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</si>
  <si>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</si>
  <si>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</si>
  <si>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</si>
  <si>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</si>
  <si>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</si>
  <si>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</si>
  <si>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</si>
  <si>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</si>
  <si>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</si>
  <si>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</si>
  <si>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</si>
  <si>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</si>
  <si>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</si>
  <si>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</si>
  <si>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</si>
  <si>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</si>
  <si>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</si>
  <si>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</si>
  <si>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</si>
  <si>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</si>
  <si>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</si>
  <si>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</si>
  <si>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</si>
  <si>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</si>
  <si>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</si>
  <si>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</si>
  <si>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</si>
  <si>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</si>
  <si>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</si>
  <si>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</si>
  <si>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</si>
  <si>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</si>
  <si>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</si>
  <si>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</si>
  <si>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</si>
  <si>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</si>
  <si>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Check</t>
  </si>
  <si>
    <t>Port 3C</t>
  </si>
  <si>
    <t>Port 2B</t>
  </si>
  <si>
    <t>Port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</si>
</sst>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Samples'!$D$12:$D$18,'Aqueous Samples'!$D$20:$D$24,'Aqueous Samples'!$D$26:$D$28,'Aqueous Samples'!$D$31:$D$33,'Aqueous Samples'!$D$35:$D$36)</c:f>
              <c:numCache>
                <c:formatCode>0</c:formatCode>
                <c:ptCount val="20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141.99999999999997</c:v>
                </c:pt>
                <c:pt idx="8">
                  <c:v>160.99999999999991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270</c:v>
                </c:pt>
                <c:pt idx="13">
                  <c:v>302.99999999999989</c:v>
                </c:pt>
                <c:pt idx="14">
                  <c:v>331.99999999999994</c:v>
                </c:pt>
                <c:pt idx="15">
                  <c:v>391.00000000000006</c:v>
                </c:pt>
                <c:pt idx="16">
                  <c:v>418.99999999999994</c:v>
                </c:pt>
                <c:pt idx="17">
                  <c:v>477.99999999999989</c:v>
                </c:pt>
                <c:pt idx="18">
                  <c:v>540</c:v>
                </c:pt>
                <c:pt idx="19">
                  <c:v>601.99999999999989</c:v>
                </c:pt>
              </c:numCache>
            </c:numRef>
          </c:xVal>
          <c:yVal>
            <c:numRef>
              <c:f>('Aqueous Samples'!$AZ$12:$AZ$18,'Aqueous Samples'!$AZ$20:$AZ$24,'Aqueous Samples'!$AZ$26:$AZ$28,'Aqueous Samples'!$AZ$31:$AZ$33,'Aqueous Samples'!$AZ$35:$AZ$36)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0.21582277334082126</c:v>
                </c:pt>
                <c:pt idx="4">
                  <c:v>0.54669757661273133</c:v>
                </c:pt>
                <c:pt idx="5">
                  <c:v>0.71385329376189366</c:v>
                </c:pt>
                <c:pt idx="6">
                  <c:v>0.73164193134777478</c:v>
                </c:pt>
                <c:pt idx="7">
                  <c:v>0.83888827338662775</c:v>
                </c:pt>
                <c:pt idx="8">
                  <c:v>0.87349304472170453</c:v>
                </c:pt>
                <c:pt idx="9">
                  <c:v>0.82848991953258444</c:v>
                </c:pt>
                <c:pt idx="10">
                  <c:v>0.90706871603003314</c:v>
                </c:pt>
                <c:pt idx="11">
                  <c:v>0.89425210343350625</c:v>
                </c:pt>
                <c:pt idx="12">
                  <c:v>0.88774887735885999</c:v>
                </c:pt>
                <c:pt idx="13">
                  <c:v>0.96190396355386321</c:v>
                </c:pt>
                <c:pt idx="14">
                  <c:v>0.98440505274219736</c:v>
                </c:pt>
                <c:pt idx="15">
                  <c:v>0.91101599509302589</c:v>
                </c:pt>
                <c:pt idx="16">
                  <c:v>0.89282171084370154</c:v>
                </c:pt>
                <c:pt idx="17">
                  <c:v>1.0823429316685356</c:v>
                </c:pt>
                <c:pt idx="18">
                  <c:v>1.0032131829521511</c:v>
                </c:pt>
                <c:pt idx="19">
                  <c:v>1.0081472630579658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Samples'!$D$12:$D$18,'Aqueous Samples'!$D$20:$D$24,'Aqueous Samples'!$D$26:$D$28,'Aqueous Samples'!$D$31:$D$33,'Aqueous Samples'!$D$35:$D$36)</c:f>
              <c:numCache>
                <c:formatCode>0</c:formatCode>
                <c:ptCount val="20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141.99999999999997</c:v>
                </c:pt>
                <c:pt idx="8">
                  <c:v>160.99999999999991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270</c:v>
                </c:pt>
                <c:pt idx="13">
                  <c:v>302.99999999999989</c:v>
                </c:pt>
                <c:pt idx="14">
                  <c:v>331.99999999999994</c:v>
                </c:pt>
                <c:pt idx="15">
                  <c:v>391.00000000000006</c:v>
                </c:pt>
                <c:pt idx="16">
                  <c:v>418.99999999999994</c:v>
                </c:pt>
                <c:pt idx="17">
                  <c:v>477.99999999999989</c:v>
                </c:pt>
                <c:pt idx="18">
                  <c:v>540</c:v>
                </c:pt>
                <c:pt idx="19">
                  <c:v>601.99999999999989</c:v>
                </c:pt>
              </c:numCache>
            </c:numRef>
          </c:xVal>
          <c:yVal>
            <c:numRef>
              <c:f>('Aqueous Samples'!$BA$12:$BA$18,'Aqueous Samples'!$BA$20:$BA$24,'Aqueous Samples'!$BA$26:$BA$28,'Aqueous Samples'!$BA$31:$BA$33,'Aqueous Samples'!$BA$35:$BA$36)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0.27102956960663654</c:v>
                </c:pt>
                <c:pt idx="5">
                  <c:v>0.36527531742974639</c:v>
                </c:pt>
                <c:pt idx="6">
                  <c:v>0.46453703064212376</c:v>
                </c:pt>
                <c:pt idx="7">
                  <c:v>0.52202258953147807</c:v>
                </c:pt>
                <c:pt idx="8">
                  <c:v>0.58333205758863083</c:v>
                </c:pt>
                <c:pt idx="9">
                  <c:v>0.59123352970567167</c:v>
                </c:pt>
                <c:pt idx="10">
                  <c:v>0.69645191959051878</c:v>
                </c:pt>
                <c:pt idx="11">
                  <c:v>0.69918803155323861</c:v>
                </c:pt>
                <c:pt idx="12">
                  <c:v>0.70793839886993248</c:v>
                </c:pt>
                <c:pt idx="13">
                  <c:v>0.77679506152063205</c:v>
                </c:pt>
                <c:pt idx="14">
                  <c:v>0.82677420536211721</c:v>
                </c:pt>
                <c:pt idx="15">
                  <c:v>0.83516038085888022</c:v>
                </c:pt>
                <c:pt idx="16">
                  <c:v>0.8415594527444229</c:v>
                </c:pt>
                <c:pt idx="17">
                  <c:v>0.94272221530916345</c:v>
                </c:pt>
                <c:pt idx="18">
                  <c:v>0.9063647274497687</c:v>
                </c:pt>
                <c:pt idx="19">
                  <c:v>0.88150097563736174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Samples'!$D$12:$D$18,'Aqueous Samples'!$D$20:$D$24,'Aqueous Samples'!$D$26:$D$28,'Aqueous Samples'!$D$31:$D$33,'Aqueous Samples'!$D$35:$D$36)</c:f>
              <c:numCache>
                <c:formatCode>0</c:formatCode>
                <c:ptCount val="20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141.99999999999997</c:v>
                </c:pt>
                <c:pt idx="8">
                  <c:v>160.99999999999991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270</c:v>
                </c:pt>
                <c:pt idx="13">
                  <c:v>302.99999999999989</c:v>
                </c:pt>
                <c:pt idx="14">
                  <c:v>331.99999999999994</c:v>
                </c:pt>
                <c:pt idx="15">
                  <c:v>391.00000000000006</c:v>
                </c:pt>
                <c:pt idx="16">
                  <c:v>418.99999999999994</c:v>
                </c:pt>
                <c:pt idx="17">
                  <c:v>477.99999999999989</c:v>
                </c:pt>
                <c:pt idx="18">
                  <c:v>540</c:v>
                </c:pt>
                <c:pt idx="19">
                  <c:v>601.99999999999989</c:v>
                </c:pt>
              </c:numCache>
            </c:numRef>
          </c:xVal>
          <c:yVal>
            <c:numRef>
              <c:f>('Aqueous Samples'!$BC$12:$BC$18,'Aqueous Samples'!$BC$20:$BC$24,'Aqueous Samples'!$BC$26:$BC$28,'Aqueous Samples'!$BC$31:$BC$33,'Aqueous Samples'!$BC$35:$BC$36)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0.46031243307626468</c:v>
                </c:pt>
                <c:pt idx="5">
                  <c:v>0.56234700299503626</c:v>
                </c:pt>
                <c:pt idx="6">
                  <c:v>0.65549838511659109</c:v>
                </c:pt>
                <c:pt idx="7">
                  <c:v>0.77121836814238631</c:v>
                </c:pt>
                <c:pt idx="8">
                  <c:v>0.7237052631824562</c:v>
                </c:pt>
                <c:pt idx="9">
                  <c:v>0.78390012041695567</c:v>
                </c:pt>
                <c:pt idx="10">
                  <c:v>0.89246365392945182</c:v>
                </c:pt>
                <c:pt idx="11">
                  <c:v>0.83545142626587854</c:v>
                </c:pt>
                <c:pt idx="12">
                  <c:v>0.85666307985225953</c:v>
                </c:pt>
                <c:pt idx="13">
                  <c:v>0.94386213456085899</c:v>
                </c:pt>
                <c:pt idx="14">
                  <c:v>0.91961815297797089</c:v>
                </c:pt>
                <c:pt idx="15">
                  <c:v>1.0323160230280137</c:v>
                </c:pt>
                <c:pt idx="16">
                  <c:v>0.92994112906770598</c:v>
                </c:pt>
                <c:pt idx="17">
                  <c:v>1.0273120770609523</c:v>
                </c:pt>
                <c:pt idx="18">
                  <c:v>1.014041283133895</c:v>
                </c:pt>
                <c:pt idx="19">
                  <c:v>1.0292941053251488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'Aqueous Samples'!$BG$12:$BG$50</c:f>
              <c:numCache>
                <c:formatCode>0</c:formatCode>
                <c:ptCount val="39"/>
                <c:pt idx="0">
                  <c:v>0.99999999999999645</c:v>
                </c:pt>
                <c:pt idx="1">
                  <c:v>11</c:v>
                </c:pt>
                <c:pt idx="2">
                  <c:v>20.999999999999925</c:v>
                </c:pt>
                <c:pt idx="3">
                  <c:v>31</c:v>
                </c:pt>
                <c:pt idx="4">
                  <c:v>41.000000000000014</c:v>
                </c:pt>
                <c:pt idx="5">
                  <c:v>52</c:v>
                </c:pt>
                <c:pt idx="6">
                  <c:v>60.999999999999943</c:v>
                </c:pt>
                <c:pt idx="7">
                  <c:v>71</c:v>
                </c:pt>
                <c:pt idx="8">
                  <c:v>80.999999999999872</c:v>
                </c:pt>
                <c:pt idx="9">
                  <c:v>101.99999999999996</c:v>
                </c:pt>
                <c:pt idx="10">
                  <c:v>121.99999999999989</c:v>
                </c:pt>
                <c:pt idx="11">
                  <c:v>141.99999999999997</c:v>
                </c:pt>
                <c:pt idx="12">
                  <c:v>160.99999999999991</c:v>
                </c:pt>
                <c:pt idx="13">
                  <c:v>184</c:v>
                </c:pt>
                <c:pt idx="14">
                  <c:v>211.99999999999989</c:v>
                </c:pt>
                <c:pt idx="15">
                  <c:v>240.99999999999994</c:v>
                </c:pt>
                <c:pt idx="16">
                  <c:v>270</c:v>
                </c:pt>
                <c:pt idx="17">
                  <c:v>302.99999999999989</c:v>
                </c:pt>
                <c:pt idx="18">
                  <c:v>331.99999999999994</c:v>
                </c:pt>
                <c:pt idx="19">
                  <c:v>361</c:v>
                </c:pt>
                <c:pt idx="20">
                  <c:v>391.00000000000006</c:v>
                </c:pt>
                <c:pt idx="21">
                  <c:v>418.99999999999994</c:v>
                </c:pt>
                <c:pt idx="22">
                  <c:v>477.99999999999989</c:v>
                </c:pt>
                <c:pt idx="23">
                  <c:v>540</c:v>
                </c:pt>
                <c:pt idx="24">
                  <c:v>601.99999999999989</c:v>
                </c:pt>
                <c:pt idx="31">
                  <c:v>91</c:v>
                </c:pt>
                <c:pt idx="32">
                  <c:v>112</c:v>
                </c:pt>
                <c:pt idx="33">
                  <c:v>131</c:v>
                </c:pt>
                <c:pt idx="34">
                  <c:v>153</c:v>
                </c:pt>
                <c:pt idx="35">
                  <c:v>172</c:v>
                </c:pt>
                <c:pt idx="36">
                  <c:v>199</c:v>
                </c:pt>
                <c:pt idx="37">
                  <c:v>228</c:v>
                </c:pt>
                <c:pt idx="38">
                  <c:v>258</c:v>
                </c:pt>
              </c:numCache>
            </c:numRef>
          </c:xVal>
          <c:yVal>
            <c:numRef>
              <c:f>'Aqueous Samples'!$BH$12:$BH$50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0.3177812461889748</c:v>
                </c:pt>
                <c:pt idx="7">
                  <c:v>0.6927484585371001</c:v>
                </c:pt>
                <c:pt idx="8">
                  <c:v>0.95679565355605001</c:v>
                </c:pt>
                <c:pt idx="9">
                  <c:v>0.94285723608574734</c:v>
                </c:pt>
                <c:pt idx="10">
                  <c:v>0.90035228784571941</c:v>
                </c:pt>
                <c:pt idx="11">
                  <c:v>0.89312935977946672</c:v>
                </c:pt>
                <c:pt idx="12">
                  <c:v>0.99525441522841218</c:v>
                </c:pt>
                <c:pt idx="13">
                  <c:v>0.94863353929094585</c:v>
                </c:pt>
                <c:pt idx="14">
                  <c:v>0.97504691330832594</c:v>
                </c:pt>
                <c:pt idx="15">
                  <c:v>0.9598896812947505</c:v>
                </c:pt>
                <c:pt idx="16">
                  <c:v>1.0205137252901715</c:v>
                </c:pt>
                <c:pt idx="17">
                  <c:v>0.99089501189971352</c:v>
                </c:pt>
                <c:pt idx="18">
                  <c:v>1.011154241031812</c:v>
                </c:pt>
                <c:pt idx="19">
                  <c:v>0.99506413628800816</c:v>
                </c:pt>
                <c:pt idx="20">
                  <c:v>1.0372696748047581</c:v>
                </c:pt>
                <c:pt idx="21">
                  <c:v>1.0322997382164654</c:v>
                </c:pt>
                <c:pt idx="22">
                  <c:v>1.0111173171131627</c:v>
                </c:pt>
                <c:pt idx="23">
                  <c:v>1.0015274028952166</c:v>
                </c:pt>
                <c:pt idx="24">
                  <c:v>1.0113706407537524</c:v>
                </c:pt>
                <c:pt idx="31">
                  <c:v>0.85752896821701896</c:v>
                </c:pt>
                <c:pt idx="32">
                  <c:v>0.85420417057462417</c:v>
                </c:pt>
                <c:pt idx="33">
                  <c:v>0.84996827419403287</c:v>
                </c:pt>
                <c:pt idx="34">
                  <c:v>0.90211229574178287</c:v>
                </c:pt>
                <c:pt idx="35">
                  <c:v>0.89307524363095092</c:v>
                </c:pt>
                <c:pt idx="36">
                  <c:v>0.93573056162384038</c:v>
                </c:pt>
                <c:pt idx="37">
                  <c:v>0.93245328614262968</c:v>
                </c:pt>
                <c:pt idx="38">
                  <c:v>0.92790560599858452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Samples'!$D$12:$D$18,'Aqueous Samples'!$D$20:$D$24,'Aqueous Samples'!$D$26:$D$28,'Aqueous Samples'!$D$31:$D$33,'Aqueous Samples'!$D$35:$D$36)</c:f>
              <c:numCache>
                <c:formatCode>0</c:formatCode>
                <c:ptCount val="20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141.99999999999997</c:v>
                </c:pt>
                <c:pt idx="8">
                  <c:v>160.99999999999991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270</c:v>
                </c:pt>
                <c:pt idx="13">
                  <c:v>302.99999999999989</c:v>
                </c:pt>
                <c:pt idx="14">
                  <c:v>331.99999999999994</c:v>
                </c:pt>
                <c:pt idx="15">
                  <c:v>391.00000000000006</c:v>
                </c:pt>
                <c:pt idx="16">
                  <c:v>418.99999999999994</c:v>
                </c:pt>
                <c:pt idx="17">
                  <c:v>477.99999999999989</c:v>
                </c:pt>
                <c:pt idx="18">
                  <c:v>540</c:v>
                </c:pt>
                <c:pt idx="19">
                  <c:v>601.99999999999989</c:v>
                </c:pt>
              </c:numCache>
            </c:numRef>
          </c:xVal>
          <c:yVal>
            <c:numRef>
              <c:f>('Aqueous Samples'!$BB$12:$BB$18,'Aqueous Samples'!$BB$20:$BB$24,'Aqueous Samples'!$BB$26:$BB$28,'Aqueous Samples'!$BB$31:$BB$33,'Aqueous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0.1100683485684246</c:v>
                </c:pt>
                <c:pt idx="4">
                  <c:v>0.80258075580963484</c:v>
                </c:pt>
                <c:pt idx="5">
                  <c:v>0.88366055484228634</c:v>
                </c:pt>
                <c:pt idx="6">
                  <c:v>0.91180012653534126</c:v>
                </c:pt>
                <c:pt idx="7">
                  <c:v>0.90637795258420173</c:v>
                </c:pt>
                <c:pt idx="8">
                  <c:v>0.90610165461182202</c:v>
                </c:pt>
                <c:pt idx="9">
                  <c:v>0.86954444314030344</c:v>
                </c:pt>
                <c:pt idx="10">
                  <c:v>0.94228461948703457</c:v>
                </c:pt>
                <c:pt idx="11">
                  <c:v>0.96875952061120962</c:v>
                </c:pt>
                <c:pt idx="12">
                  <c:v>0.9407683411796941</c:v>
                </c:pt>
                <c:pt idx="13">
                  <c:v>0.95904040917001465</c:v>
                </c:pt>
                <c:pt idx="14">
                  <c:v>0.95805909530845212</c:v>
                </c:pt>
                <c:pt idx="15">
                  <c:v>0.97373327731793924</c:v>
                </c:pt>
                <c:pt idx="16">
                  <c:v>0.96335227290177072</c:v>
                </c:pt>
                <c:pt idx="17">
                  <c:v>1.0263401522321329</c:v>
                </c:pt>
                <c:pt idx="18">
                  <c:v>0.97431697166308118</c:v>
                </c:pt>
                <c:pt idx="19">
                  <c:v>0.97528392319466584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Samples'!$D$12:$D$18,'Aqueous Samples'!$D$20:$D$24,'Aqueous Samples'!$D$26:$D$28,'Aqueous Samples'!$D$31:$D$33,'Aqueous Samples'!$D$35:$D$36)</c:f>
              <c:numCache>
                <c:formatCode>0</c:formatCode>
                <c:ptCount val="20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141.99999999999997</c:v>
                </c:pt>
                <c:pt idx="8">
                  <c:v>160.99999999999991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270</c:v>
                </c:pt>
                <c:pt idx="13">
                  <c:v>302.99999999999989</c:v>
                </c:pt>
                <c:pt idx="14">
                  <c:v>331.99999999999994</c:v>
                </c:pt>
                <c:pt idx="15">
                  <c:v>391.00000000000006</c:v>
                </c:pt>
                <c:pt idx="16">
                  <c:v>418.99999999999994</c:v>
                </c:pt>
                <c:pt idx="17">
                  <c:v>477.99999999999989</c:v>
                </c:pt>
                <c:pt idx="18">
                  <c:v>540</c:v>
                </c:pt>
                <c:pt idx="19">
                  <c:v>601.99999999999989</c:v>
                </c:pt>
              </c:numCache>
            </c:numRef>
          </c:xVal>
          <c:yVal>
            <c:numRef>
              <c:f>('Aqueous Samples'!$BD$12:$BD$18,'Aqueous Samples'!$BD$20:$BD$24,'Aqueous Samples'!$BD$26:$BD$28,'Aqueous Samples'!$BD$31:$BD$33,'Aqueous Samples'!$BD$35:$BD$36)</c:f>
              <c:numCache>
                <c:formatCode>General</c:formatCode>
                <c:ptCount val="20"/>
                <c:pt idx="0">
                  <c:v>0</c:v>
                </c:pt>
                <c:pt idx="1">
                  <c:v>5.0727848948359537E-4</c:v>
                </c:pt>
                <c:pt idx="2">
                  <c:v>7.1555448394046471E-4</c:v>
                </c:pt>
                <c:pt idx="3">
                  <c:v>5.5998912262518602E-2</c:v>
                </c:pt>
                <c:pt idx="4">
                  <c:v>0.53438396928370846</c:v>
                </c:pt>
                <c:pt idx="5">
                  <c:v>0.666858527815539</c:v>
                </c:pt>
                <c:pt idx="6">
                  <c:v>0.77433547037144723</c:v>
                </c:pt>
                <c:pt idx="7">
                  <c:v>0.84017897152162202</c:v>
                </c:pt>
                <c:pt idx="8">
                  <c:v>0.87735148416515762</c:v>
                </c:pt>
                <c:pt idx="9">
                  <c:v>0.86824997933714665</c:v>
                </c:pt>
                <c:pt idx="10">
                  <c:v>0.94282388862849997</c:v>
                </c:pt>
                <c:pt idx="11">
                  <c:v>0.94357412855617684</c:v>
                </c:pt>
                <c:pt idx="12">
                  <c:v>0.95297042129234399</c:v>
                </c:pt>
                <c:pt idx="13">
                  <c:v>0.98194273659421283</c:v>
                </c:pt>
                <c:pt idx="14">
                  <c:v>0.99644913049235162</c:v>
                </c:pt>
                <c:pt idx="15">
                  <c:v>0.98358590293717141</c:v>
                </c:pt>
                <c:pt idx="16">
                  <c:v>0.9702000878009609</c:v>
                </c:pt>
                <c:pt idx="17">
                  <c:v>1.0404089148811764</c:v>
                </c:pt>
                <c:pt idx="18">
                  <c:v>1.0122677574492849</c:v>
                </c:pt>
                <c:pt idx="19">
                  <c:v>0.99235027456162261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Samples'!$D$12:$D$20,'Aqueous Samples'!$D$22:$D$27,'Aqueous Samples'!$D$30:$D$31,'Aqueous Samples'!$D$33:$D$34,'Aqueous Samples'!$D$36:$D$37)</c:f>
              <c:numCache>
                <c:formatCode>0</c:formatCode>
                <c:ptCount val="21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125.00000000000003</c:v>
                </c:pt>
                <c:pt idx="8">
                  <c:v>141.99999999999997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242.99999999999994</c:v>
                </c:pt>
                <c:pt idx="13">
                  <c:v>270</c:v>
                </c:pt>
                <c:pt idx="14">
                  <c:v>302.99999999999989</c:v>
                </c:pt>
                <c:pt idx="15">
                  <c:v>362</c:v>
                </c:pt>
                <c:pt idx="16">
                  <c:v>391.00000000000006</c:v>
                </c:pt>
                <c:pt idx="17">
                  <c:v>477.99999999999989</c:v>
                </c:pt>
                <c:pt idx="18">
                  <c:v>478.99999999999989</c:v>
                </c:pt>
                <c:pt idx="19">
                  <c:v>601.99999999999989</c:v>
                </c:pt>
                <c:pt idx="20">
                  <c:v>602.99999999999989</c:v>
                </c:pt>
              </c:numCache>
            </c:numRef>
          </c:xVal>
          <c:yVal>
            <c:numRef>
              <c:f>('Aqueous Samples'!$BB$12:$BB$20,'Aqueous Samples'!$BB$22:$BB$27,'Aqueous Samples'!$BB$30:$BB$31,'Aqueous Samples'!$BB$33:$BB$34,'Aqueous Samples'!$BB$36:$BB$37)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0.1100683485684246</c:v>
                </c:pt>
                <c:pt idx="4">
                  <c:v>0.80258075580963484</c:v>
                </c:pt>
                <c:pt idx="5">
                  <c:v>0.88366055484228634</c:v>
                </c:pt>
                <c:pt idx="6">
                  <c:v>0.91180012653534126</c:v>
                </c:pt>
                <c:pt idx="7">
                  <c:v>1</c:v>
                </c:pt>
                <c:pt idx="8">
                  <c:v>0.90637795258420173</c:v>
                </c:pt>
                <c:pt idx="9">
                  <c:v>0.86954444314030344</c:v>
                </c:pt>
                <c:pt idx="10">
                  <c:v>0.94228461948703457</c:v>
                </c:pt>
                <c:pt idx="11">
                  <c:v>0.96875952061120962</c:v>
                </c:pt>
                <c:pt idx="12">
                  <c:v>1</c:v>
                </c:pt>
                <c:pt idx="13">
                  <c:v>0.9407683411796941</c:v>
                </c:pt>
                <c:pt idx="14">
                  <c:v>0.95904040917001465</c:v>
                </c:pt>
                <c:pt idx="15">
                  <c:v>1</c:v>
                </c:pt>
                <c:pt idx="16">
                  <c:v>0.97373327731793924</c:v>
                </c:pt>
                <c:pt idx="17">
                  <c:v>1.0263401522321329</c:v>
                </c:pt>
                <c:pt idx="18">
                  <c:v>1</c:v>
                </c:pt>
                <c:pt idx="19">
                  <c:v>0.97528392319466584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Samples'!$D$12:$D$20,'Aqueous Samples'!$D$22:$D$27,'Aqueous Samples'!$D$30:$D$31,'Aqueous Samples'!$D$33:$D$34,'Aqueous Samples'!$D$36:$D$37)</c:f>
              <c:numCache>
                <c:formatCode>0</c:formatCode>
                <c:ptCount val="21"/>
                <c:pt idx="0">
                  <c:v>0.99999999999999645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60.999999999999943</c:v>
                </c:pt>
                <c:pt idx="4">
                  <c:v>80.999999999999872</c:v>
                </c:pt>
                <c:pt idx="5">
                  <c:v>101.99999999999996</c:v>
                </c:pt>
                <c:pt idx="6">
                  <c:v>121.99999999999989</c:v>
                </c:pt>
                <c:pt idx="7">
                  <c:v>125.00000000000003</c:v>
                </c:pt>
                <c:pt idx="8">
                  <c:v>141.99999999999997</c:v>
                </c:pt>
                <c:pt idx="9">
                  <c:v>184</c:v>
                </c:pt>
                <c:pt idx="10">
                  <c:v>211.99999999999989</c:v>
                </c:pt>
                <c:pt idx="11">
                  <c:v>240.99999999999994</c:v>
                </c:pt>
                <c:pt idx="12">
                  <c:v>242.99999999999994</c:v>
                </c:pt>
                <c:pt idx="13">
                  <c:v>270</c:v>
                </c:pt>
                <c:pt idx="14">
                  <c:v>302.99999999999989</c:v>
                </c:pt>
                <c:pt idx="15">
                  <c:v>362</c:v>
                </c:pt>
                <c:pt idx="16">
                  <c:v>391.00000000000006</c:v>
                </c:pt>
                <c:pt idx="17">
                  <c:v>477.99999999999989</c:v>
                </c:pt>
                <c:pt idx="18">
                  <c:v>478.99999999999989</c:v>
                </c:pt>
                <c:pt idx="19">
                  <c:v>601.99999999999989</c:v>
                </c:pt>
                <c:pt idx="20">
                  <c:v>602.99999999999989</c:v>
                </c:pt>
              </c:numCache>
            </c:numRef>
          </c:xVal>
          <c:yVal>
            <c:numRef>
              <c:f>('Aqueous Samples'!$BD$12:$BD$20,'Aqueous Samples'!$BD$22:$BD$27,'Aqueous Samples'!$BD$29:$BD$30,'Aqueous Samples'!$BD$31,'Aqueous Samples'!$BD$33:$BD$34,'Aqueous Samples'!$BD$36:$BD$37)</c:f>
              <c:numCache>
                <c:formatCode>General</c:formatCode>
                <c:ptCount val="22"/>
                <c:pt idx="0">
                  <c:v>0</c:v>
                </c:pt>
                <c:pt idx="1">
                  <c:v>5.0727848948359537E-4</c:v>
                </c:pt>
                <c:pt idx="2">
                  <c:v>7.1555448394046471E-4</c:v>
                </c:pt>
                <c:pt idx="3">
                  <c:v>5.5998912262518602E-2</c:v>
                </c:pt>
                <c:pt idx="4">
                  <c:v>0.53438396928370846</c:v>
                </c:pt>
                <c:pt idx="5">
                  <c:v>0.666858527815539</c:v>
                </c:pt>
                <c:pt idx="6">
                  <c:v>0.77433547037144723</c:v>
                </c:pt>
                <c:pt idx="7">
                  <c:v>1</c:v>
                </c:pt>
                <c:pt idx="8">
                  <c:v>0.84017897152162202</c:v>
                </c:pt>
                <c:pt idx="9">
                  <c:v>0.86824997933714665</c:v>
                </c:pt>
                <c:pt idx="10">
                  <c:v>0.94282388862849997</c:v>
                </c:pt>
                <c:pt idx="11">
                  <c:v>0.94357412855617684</c:v>
                </c:pt>
                <c:pt idx="12">
                  <c:v>1</c:v>
                </c:pt>
                <c:pt idx="13">
                  <c:v>0.95297042129234399</c:v>
                </c:pt>
                <c:pt idx="14">
                  <c:v>0.98194273659421283</c:v>
                </c:pt>
                <c:pt idx="15">
                  <c:v>0.90852214661934183</c:v>
                </c:pt>
                <c:pt idx="16">
                  <c:v>1</c:v>
                </c:pt>
                <c:pt idx="17">
                  <c:v>0.98358590293717141</c:v>
                </c:pt>
                <c:pt idx="18">
                  <c:v>1.0404089148811764</c:v>
                </c:pt>
                <c:pt idx="19">
                  <c:v>1</c:v>
                </c:pt>
                <c:pt idx="20">
                  <c:v>0.99235027456162261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34</xdr:row>
      <xdr:rowOff>147637</xdr:rowOff>
    </xdr:from>
    <xdr:to>
      <xdr:col>69</xdr:col>
      <xdr:colOff>419100</xdr:colOff>
      <xdr:row>49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34</xdr:row>
      <xdr:rowOff>128587</xdr:rowOff>
    </xdr:from>
    <xdr:to>
      <xdr:col>77</xdr:col>
      <xdr:colOff>476250</xdr:colOff>
      <xdr:row>49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K50"/>
  <sheetViews>
    <sheetView tabSelected="1" workbookViewId="0">
      <selection activeCell="AX22" sqref="AX22"/>
    </sheetView>
  </sheetViews>
  <sheetFormatPr defaultRowHeight="15" x14ac:dyDescent="0.25"/>
  <cols>
    <col min="2" max="2" width="23.42578125" customWidth="1"/>
    <col min="3" max="3" width="20.7109375" customWidth="1"/>
    <col min="4" max="4" width="18.85546875" customWidth="1"/>
    <col min="5" max="5" width="15.28515625" customWidth="1"/>
    <col min="7" max="7" width="14.28515625" customWidth="1"/>
    <col min="8" max="8" width="17.140625" customWidth="1"/>
    <col min="9" max="9" width="26" customWidth="1"/>
    <col min="10" max="10" width="22.42578125" customWidth="1"/>
    <col min="11" max="11" width="21.42578125" customWidth="1"/>
    <col min="14" max="14" width="13.42578125" customWidth="1"/>
    <col min="17" max="17" width="14.28515625" customWidth="1"/>
    <col min="18" max="18" width="12.42578125" customWidth="1"/>
    <col min="19" max="19" width="14.42578125" customWidth="1"/>
    <col min="20" max="21" width="18.42578125" customWidth="1"/>
    <col min="22" max="22" width="15" customWidth="1"/>
    <col min="23" max="24" width="14.28515625" customWidth="1"/>
    <col min="25" max="26" width="18.7109375" customWidth="1"/>
    <col min="27" max="27" width="16.140625" customWidth="1"/>
    <col min="28" max="28" width="15" customWidth="1"/>
    <col min="29" max="29" width="18.7109375" customWidth="1"/>
    <col min="30" max="31" width="21.7109375" customWidth="1"/>
    <col min="32" max="32" width="12" bestFit="1" customWidth="1"/>
    <col min="34" max="34" width="14.42578125" customWidth="1"/>
    <col min="35" max="36" width="19" customWidth="1"/>
    <col min="37" max="37" width="13.7109375" customWidth="1"/>
    <col min="38" max="38" width="12.42578125" customWidth="1"/>
    <col min="39" max="39" width="12.7109375" customWidth="1"/>
    <col min="40" max="41" width="18.28515625" customWidth="1"/>
    <col min="44" max="44" width="15.28515625" customWidth="1"/>
    <col min="45" max="46" width="18.7109375" customWidth="1"/>
    <col min="47" max="47" width="14.85546875" customWidth="1"/>
    <col min="49" max="49" width="14.28515625" customWidth="1"/>
    <col min="50" max="51" width="18.85546875" customWidth="1"/>
    <col min="54" max="54" width="13.42578125" customWidth="1"/>
    <col min="55" max="58" width="18.140625" customWidth="1"/>
    <col min="59" max="59" width="16.5703125" customWidth="1"/>
    <col min="60" max="60" width="19.5703125" customWidth="1"/>
  </cols>
  <sheetData>
    <row r="3" spans="2:60" x14ac:dyDescent="0.25">
      <c r="B3" s="9"/>
      <c r="C3" s="9"/>
      <c r="D3" s="9"/>
      <c r="E3" s="9"/>
      <c r="F3" s="8">
        <v>0.52222222222222225</v>
      </c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2:60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21" t="s">
        <v>72</v>
      </c>
      <c r="M4" s="21"/>
      <c r="N4" s="21"/>
      <c r="O4" s="21"/>
      <c r="P4" s="21"/>
      <c r="Q4" s="21" t="s">
        <v>119</v>
      </c>
      <c r="R4" s="21"/>
      <c r="S4" s="21"/>
      <c r="T4" s="21"/>
      <c r="U4" s="21"/>
      <c r="V4" s="21" t="s">
        <v>80</v>
      </c>
      <c r="W4" s="21"/>
      <c r="X4" s="21"/>
      <c r="Y4" s="21"/>
      <c r="Z4" s="21"/>
      <c r="AA4" s="21" t="s">
        <v>81</v>
      </c>
      <c r="AB4" s="21"/>
      <c r="AC4" s="21"/>
      <c r="AD4" s="21"/>
      <c r="AE4" s="21"/>
      <c r="AF4" s="21" t="s">
        <v>82</v>
      </c>
      <c r="AG4" s="21"/>
      <c r="AH4" s="21"/>
      <c r="AI4" s="21"/>
      <c r="AJ4" s="9"/>
      <c r="AK4" s="21" t="s">
        <v>83</v>
      </c>
      <c r="AL4" s="21"/>
      <c r="AM4" s="21"/>
      <c r="AN4" s="21"/>
      <c r="AO4" s="21"/>
      <c r="AP4" s="21" t="s">
        <v>84</v>
      </c>
      <c r="AQ4" s="21"/>
      <c r="AR4" s="21"/>
      <c r="AS4" s="21"/>
      <c r="AT4" s="21"/>
      <c r="AU4" s="21" t="s">
        <v>85</v>
      </c>
      <c r="AV4" s="21"/>
      <c r="AW4" s="21"/>
      <c r="AX4" s="21"/>
      <c r="AY4" s="21"/>
      <c r="AZ4" s="21" t="s">
        <v>86</v>
      </c>
      <c r="BA4" s="21"/>
      <c r="BB4" s="21"/>
      <c r="BC4" s="21"/>
      <c r="BD4" s="21"/>
      <c r="BE4" s="9"/>
      <c r="BF4" s="9"/>
      <c r="BG4" s="21" t="s">
        <v>87</v>
      </c>
      <c r="BH4" s="21"/>
    </row>
    <row r="5" spans="2:60" x14ac:dyDescent="0.25">
      <c r="B5" s="9" t="s">
        <v>33</v>
      </c>
      <c r="C5" s="9" t="s">
        <v>39</v>
      </c>
      <c r="D5" s="9" t="s">
        <v>71</v>
      </c>
      <c r="E5" s="9" t="s">
        <v>70</v>
      </c>
      <c r="F5" s="9" t="s">
        <v>69</v>
      </c>
      <c r="G5" s="9" t="s">
        <v>73</v>
      </c>
      <c r="H5" s="9" t="s">
        <v>74</v>
      </c>
      <c r="I5" s="9" t="s">
        <v>75</v>
      </c>
      <c r="J5" s="9" t="s">
        <v>76</v>
      </c>
      <c r="K5" s="9" t="s">
        <v>77</v>
      </c>
      <c r="L5" s="9" t="s">
        <v>35</v>
      </c>
      <c r="M5" s="9" t="s">
        <v>38</v>
      </c>
      <c r="N5" s="9" t="s">
        <v>37</v>
      </c>
      <c r="O5" s="9" t="s">
        <v>36</v>
      </c>
      <c r="P5" s="9" t="s">
        <v>118</v>
      </c>
      <c r="Q5" s="9" t="s">
        <v>35</v>
      </c>
      <c r="R5" s="9" t="s">
        <v>38</v>
      </c>
      <c r="S5" s="9" t="s">
        <v>78</v>
      </c>
      <c r="T5" s="9" t="s">
        <v>79</v>
      </c>
      <c r="U5" s="9" t="s">
        <v>118</v>
      </c>
      <c r="V5" s="9" t="s">
        <v>35</v>
      </c>
      <c r="W5" s="9" t="s">
        <v>38</v>
      </c>
      <c r="X5" s="9" t="s">
        <v>78</v>
      </c>
      <c r="Y5" s="9" t="s">
        <v>79</v>
      </c>
      <c r="Z5" s="9" t="s">
        <v>118</v>
      </c>
      <c r="AA5" s="9" t="s">
        <v>35</v>
      </c>
      <c r="AB5" s="9" t="s">
        <v>38</v>
      </c>
      <c r="AC5" s="9" t="s">
        <v>78</v>
      </c>
      <c r="AD5" s="9" t="s">
        <v>79</v>
      </c>
      <c r="AE5" s="9" t="s">
        <v>118</v>
      </c>
      <c r="AF5" s="9" t="s">
        <v>35</v>
      </c>
      <c r="AG5" s="9" t="s">
        <v>38</v>
      </c>
      <c r="AH5" s="9" t="s">
        <v>78</v>
      </c>
      <c r="AI5" s="9" t="s">
        <v>79</v>
      </c>
      <c r="AJ5" s="9" t="s">
        <v>118</v>
      </c>
      <c r="AK5" s="9" t="s">
        <v>35</v>
      </c>
      <c r="AL5" s="9" t="s">
        <v>38</v>
      </c>
      <c r="AM5" s="9" t="s">
        <v>78</v>
      </c>
      <c r="AN5" s="9" t="s">
        <v>79</v>
      </c>
      <c r="AO5" s="9" t="s">
        <v>118</v>
      </c>
      <c r="AP5" s="9" t="s">
        <v>35</v>
      </c>
      <c r="AQ5" s="9" t="s">
        <v>38</v>
      </c>
      <c r="AR5" s="9" t="s">
        <v>78</v>
      </c>
      <c r="AS5" s="9" t="s">
        <v>79</v>
      </c>
      <c r="AT5" s="9" t="s">
        <v>118</v>
      </c>
      <c r="AU5" s="9" t="s">
        <v>35</v>
      </c>
      <c r="AV5" s="9" t="s">
        <v>38</v>
      </c>
      <c r="AW5" s="9" t="s">
        <v>78</v>
      </c>
      <c r="AX5" s="9" t="s">
        <v>79</v>
      </c>
      <c r="AY5" s="9" t="s">
        <v>118</v>
      </c>
      <c r="AZ5" s="9" t="s">
        <v>35</v>
      </c>
      <c r="BA5" s="9" t="s">
        <v>38</v>
      </c>
      <c r="BB5" s="9" t="s">
        <v>78</v>
      </c>
      <c r="BC5" s="9" t="s">
        <v>79</v>
      </c>
      <c r="BD5" s="9" t="s">
        <v>118</v>
      </c>
      <c r="BE5" s="9"/>
      <c r="BF5" s="9"/>
      <c r="BG5" t="s">
        <v>71</v>
      </c>
      <c r="BH5" s="9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0.50972222222222219</v>
      </c>
      <c r="G6" s="5">
        <v>9.8694000000000006</v>
      </c>
      <c r="H6" s="5">
        <v>18.939599999999999</v>
      </c>
      <c r="I6" s="5">
        <v>14.6975</v>
      </c>
      <c r="J6" s="5">
        <f>H6-I6</f>
        <v>4.2420999999999989</v>
      </c>
      <c r="K6" s="5">
        <f>I6-G6</f>
        <v>4.8280999999999992</v>
      </c>
      <c r="L6" s="14">
        <v>161170</v>
      </c>
      <c r="M6" s="14">
        <v>35051</v>
      </c>
      <c r="N6" s="14">
        <v>50052824</v>
      </c>
      <c r="O6" s="14">
        <v>1033843</v>
      </c>
      <c r="P6" s="14">
        <v>2514625</v>
      </c>
      <c r="Q6" s="5">
        <f>(L6+41130)/9817.1</f>
        <v>20.606900204744782</v>
      </c>
      <c r="R6" s="5">
        <f>(M6-895.67)/4.4253</f>
        <v>7718.1953765846383</v>
      </c>
      <c r="S6" s="5">
        <f>(N6-135841)/69413</f>
        <v>719.1301773443015</v>
      </c>
      <c r="T6" s="5">
        <f t="shared" ref="T6:T38" si="0">(4*10^-9*O6)+0.0001</f>
        <v>4.2353720000000003E-3</v>
      </c>
      <c r="U6" s="5">
        <f>(P6+4076.7)/5248.6</f>
        <v>479.88067294135578</v>
      </c>
      <c r="V6" s="5">
        <f>Q6/1000*1.2381</f>
        <v>2.5513403143494512E-2</v>
      </c>
      <c r="W6" s="5">
        <f>R6/1000*1.64^-1</f>
        <v>4.7062166930394138</v>
      </c>
      <c r="X6" s="5">
        <f>S6/1000*1.8084</f>
        <v>1.3004750127094349</v>
      </c>
      <c r="Y6" s="5">
        <f>T6/1000*6.0383</f>
        <v>2.55744467476E-5</v>
      </c>
      <c r="Z6" s="5">
        <f>U6/1000*6.57*10^-1</f>
        <v>0.31528160212247075</v>
      </c>
      <c r="AA6" s="5">
        <f>(Q6/1000000)*0.0019*30.07*1000</f>
        <v>1.1773340293976834E-3</v>
      </c>
      <c r="AB6" s="5">
        <f>(R6/1000000)*0.00037*4*1000</f>
        <v>1.1422929157345265E-2</v>
      </c>
      <c r="AC6" s="5">
        <f>(S6/1000000)*0.0245*44.01*1000</f>
        <v>0.77539851807060622</v>
      </c>
      <c r="AD6" s="5">
        <f>(T6/1000000)*0.00024*146.06*1000</f>
        <v>1.4846842423680006E-7</v>
      </c>
      <c r="AE6" s="5">
        <f>(U6/1000000)*0.0015*16.04*1000</f>
        <v>1.1545928990969019E-2</v>
      </c>
      <c r="AF6" s="5">
        <f>(V6*J6/1000)+(AA6*K6/1000)</f>
        <v>1.13914693902353E-4</v>
      </c>
      <c r="AG6" s="5">
        <f>(W6*J6/1000)+(AB6*K6/1000)</f>
        <v>2.0019392877807071E-2</v>
      </c>
      <c r="AH6" s="5">
        <f>(X6*J6/1000)+(AC6*K6/1000)</f>
        <v>9.2604466365113856E-3</v>
      </c>
      <c r="AI6" s="5">
        <f>(Y6*J6/1000)+(AD6*K6/1000)</f>
        <v>1.0920618094705163E-7</v>
      </c>
      <c r="AJ6" s="5">
        <f>(Z6*J6/1000)+(AE6*K6/1000)</f>
        <v>1.3932009841250304E-3</v>
      </c>
      <c r="AK6" s="5">
        <f>AF6/K6*1000</f>
        <v>2.3594104078696176E-2</v>
      </c>
      <c r="AL6" s="5">
        <f>AG6/K6*1000</f>
        <v>4.1464329400399897</v>
      </c>
      <c r="AM6" s="5">
        <f>AH6/K6*1000</f>
        <v>1.9180312413809546</v>
      </c>
      <c r="AN6" s="5">
        <f>AI6/K6*1000</f>
        <v>2.2618873044686657E-5</v>
      </c>
      <c r="AO6" s="5">
        <f>AJ6/K6*1000</f>
        <v>0.28856092129927519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0.51041666666666663</v>
      </c>
      <c r="G7" s="5">
        <v>10.0786</v>
      </c>
      <c r="H7" s="5">
        <v>19.072700000000001</v>
      </c>
      <c r="I7" s="5">
        <v>14.4451</v>
      </c>
      <c r="J7" s="5">
        <f t="shared" ref="J7:J38" si="1">H7-I7</f>
        <v>4.627600000000001</v>
      </c>
      <c r="K7" s="5">
        <f t="shared" ref="K7:K38" si="2">I7-G7</f>
        <v>4.3665000000000003</v>
      </c>
      <c r="L7" s="14">
        <v>157183</v>
      </c>
      <c r="M7" s="14">
        <v>31733</v>
      </c>
      <c r="N7" s="14">
        <v>46841318</v>
      </c>
      <c r="O7" s="14">
        <v>1142899</v>
      </c>
      <c r="P7" s="14">
        <v>2362336</v>
      </c>
      <c r="Q7" s="5">
        <f t="shared" ref="Q7:Q38" si="3">(L7+41130)/9817.1</f>
        <v>20.200772122113456</v>
      </c>
      <c r="R7" s="5">
        <f t="shared" ref="R7:R38" si="4">(M7-895.67)/4.4253</f>
        <v>6968.4157006304658</v>
      </c>
      <c r="S7" s="5">
        <f t="shared" ref="S7:S38" si="5">(N7-135841)/69413</f>
        <v>672.86354141155118</v>
      </c>
      <c r="T7" s="5">
        <f t="shared" si="0"/>
        <v>4.6715960000000009E-3</v>
      </c>
      <c r="U7" s="5">
        <f t="shared" ref="U7:U38" si="6">(P7+4076.7)/5248.6</f>
        <v>450.86550699234084</v>
      </c>
      <c r="V7" s="5">
        <f t="shared" ref="V7:V38" si="7">Q7/1000*1.2381</f>
        <v>2.501057596438867E-2</v>
      </c>
      <c r="W7" s="5">
        <f t="shared" ref="W7:W38" si="8">R7/1000*1.64^-1</f>
        <v>4.2490339637990644</v>
      </c>
      <c r="X7" s="5">
        <f t="shared" ref="X7:X38" si="9">S7/1000*1.8084</f>
        <v>1.216806428288649</v>
      </c>
      <c r="Y7" s="5">
        <f t="shared" ref="Y7:Y38" si="10">T7/1000*6.0383</f>
        <v>2.8208498126800003E-5</v>
      </c>
      <c r="Z7" s="5">
        <f t="shared" ref="Z7:Z38" si="11">U7/1000*6.57*10^-1</f>
        <v>0.29621863809396792</v>
      </c>
      <c r="AA7" s="5">
        <f t="shared" ref="AA7:AA38" si="12">(Q7/1000000)*0.0019*30.07*1000</f>
        <v>1.1541307136527081E-3</v>
      </c>
      <c r="AB7" s="5">
        <f t="shared" ref="AB7:AB38" si="13">(R7/1000000)*0.00037*4*1000</f>
        <v>1.0313255236933088E-2</v>
      </c>
      <c r="AC7" s="5">
        <f t="shared" ref="AC7:AC38" si="14">(S7/1000000)*0.0245*44.01*1000</f>
        <v>0.72551174920929806</v>
      </c>
      <c r="AD7" s="5">
        <f t="shared" ref="AD7:AD38" si="15">(T7/1000000)*0.00024*146.06*1000</f>
        <v>1.6375999482240002E-7</v>
      </c>
      <c r="AE7" s="5">
        <f t="shared" ref="AE7:AE38" si="16">(U7/1000000)*0.0015*16.04*1000</f>
        <v>1.0847824098235721E-2</v>
      </c>
      <c r="AF7" s="5">
        <f t="shared" ref="AF7:AF38" si="17">(V7*J7/1000)+(AA7*K7/1000)</f>
        <v>1.2077845309396958E-4</v>
      </c>
      <c r="AG7" s="5">
        <f t="shared" ref="AG7:AG38" si="18">(W7*J7/1000)+(AB7*K7/1000)</f>
        <v>1.9707862399868624E-2</v>
      </c>
      <c r="AH7" s="5">
        <f t="shared" ref="AH7:AH38" si="19">(X7*J7/1000)+(AC7*K7/1000)</f>
        <v>8.7988404804709534E-3</v>
      </c>
      <c r="AI7" s="5">
        <f t="shared" ref="AI7:AI38" si="20">(Y7*J7/1000)+(AD7*K7/1000)</f>
        <v>1.3125270394897172E-7</v>
      </c>
      <c r="AJ7" s="5">
        <f t="shared" ref="AJ7:AJ38" si="21">(Z7*J7/1000)+(AE7*K7/1000)</f>
        <v>1.4181483935685924E-3</v>
      </c>
      <c r="AK7" s="5">
        <f t="shared" ref="AK7:AK38" si="22">AF7/K7*1000</f>
        <v>2.7660243465926847E-2</v>
      </c>
      <c r="AL7" s="5">
        <f t="shared" ref="AL7:AL38" si="23">AG7/K7*1000</f>
        <v>4.513423199328666</v>
      </c>
      <c r="AM7" s="5">
        <f t="shared" ref="AM7:AM38" si="24">AH7/K7*1000</f>
        <v>2.0150785481440407</v>
      </c>
      <c r="AN7" s="5">
        <f t="shared" ref="AN7:AN38" si="25">AI7/K7*1000</f>
        <v>3.0059018424131847E-5</v>
      </c>
      <c r="AO7" s="5">
        <f t="shared" ref="AO7:AO38" si="26">AJ7/K7*1000</f>
        <v>0.32477920384028219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0.51111111111111118</v>
      </c>
      <c r="G8" s="5">
        <v>9.9265000000000008</v>
      </c>
      <c r="H8" s="5">
        <v>19.087399999999999</v>
      </c>
      <c r="I8" s="5">
        <v>14.9369</v>
      </c>
      <c r="J8" s="5">
        <f t="shared" si="1"/>
        <v>4.1504999999999992</v>
      </c>
      <c r="K8" s="5">
        <f t="shared" si="2"/>
        <v>5.0103999999999989</v>
      </c>
      <c r="L8" s="14">
        <v>186215</v>
      </c>
      <c r="M8" s="14">
        <v>37162</v>
      </c>
      <c r="N8" s="14">
        <v>51713344</v>
      </c>
      <c r="O8" s="14">
        <v>1420203</v>
      </c>
      <c r="P8" s="14">
        <v>2838747</v>
      </c>
      <c r="Q8" s="5">
        <f t="shared" si="3"/>
        <v>23.158060934491854</v>
      </c>
      <c r="R8" s="5">
        <f t="shared" si="4"/>
        <v>8195.2251824735049</v>
      </c>
      <c r="S8" s="5">
        <f t="shared" si="5"/>
        <v>743.05249737080953</v>
      </c>
      <c r="T8" s="5">
        <f t="shared" si="0"/>
        <v>5.7808120000000006E-3</v>
      </c>
      <c r="U8" s="5">
        <f t="shared" si="6"/>
        <v>541.63466448195709</v>
      </c>
      <c r="V8" s="5">
        <f t="shared" si="7"/>
        <v>2.8671995242994363E-2</v>
      </c>
      <c r="W8" s="5">
        <f t="shared" si="8"/>
        <v>4.9970885258984792</v>
      </c>
      <c r="X8" s="5">
        <f t="shared" si="9"/>
        <v>1.3437361362453721</v>
      </c>
      <c r="Y8" s="5">
        <f t="shared" si="10"/>
        <v>3.4906277099600001E-5</v>
      </c>
      <c r="Z8" s="5">
        <f t="shared" si="11"/>
        <v>0.35585397456464585</v>
      </c>
      <c r="AA8" s="5">
        <f t="shared" si="12"/>
        <v>1.3230894953703231E-3</v>
      </c>
      <c r="AB8" s="5">
        <f t="shared" si="13"/>
        <v>1.2128933270060788E-2</v>
      </c>
      <c r="AC8" s="5">
        <f t="shared" si="14"/>
        <v>0.8011926400275885</v>
      </c>
      <c r="AD8" s="5">
        <f t="shared" si="15"/>
        <v>2.0264289617280001E-7</v>
      </c>
      <c r="AE8" s="5">
        <f t="shared" si="16"/>
        <v>1.3031730027435889E-2</v>
      </c>
      <c r="AF8" s="5">
        <f t="shared" si="17"/>
        <v>1.2563232386365153E-4</v>
      </c>
      <c r="AG8" s="5">
        <f t="shared" si="18"/>
        <v>2.0801186733997945E-2</v>
      </c>
      <c r="AH8" s="5">
        <f t="shared" si="19"/>
        <v>9.5914724370806444E-3</v>
      </c>
      <c r="AI8" s="5">
        <f t="shared" si="20"/>
        <v>1.4589382506887397E-7</v>
      </c>
      <c r="AJ8" s="5">
        <f t="shared" si="21"/>
        <v>1.5422661015600271E-3</v>
      </c>
      <c r="AK8" s="5">
        <f t="shared" si="22"/>
        <v>2.5074310207498715E-2</v>
      </c>
      <c r="AL8" s="5">
        <f t="shared" si="23"/>
        <v>4.1516020146092023</v>
      </c>
      <c r="AM8" s="5">
        <f t="shared" si="24"/>
        <v>1.9143127169648424</v>
      </c>
      <c r="AN8" s="5">
        <f t="shared" si="25"/>
        <v>2.9118199159522991E-5</v>
      </c>
      <c r="AO8" s="5">
        <f t="shared" si="26"/>
        <v>0.30781296933578706</v>
      </c>
      <c r="AP8" s="5"/>
      <c r="AQ8" s="5"/>
      <c r="AR8" s="5"/>
      <c r="AS8" s="5"/>
      <c r="AT8" s="5"/>
      <c r="BF8" s="5"/>
    </row>
    <row r="9" spans="2:60" x14ac:dyDescent="0.25">
      <c r="B9" t="s">
        <v>92</v>
      </c>
      <c r="C9" s="9" t="s">
        <v>123</v>
      </c>
      <c r="D9" s="9"/>
      <c r="E9" s="9"/>
      <c r="F9" s="8">
        <v>0.51250000000000007</v>
      </c>
      <c r="G9" s="9">
        <v>10.0602</v>
      </c>
      <c r="H9" s="9">
        <v>18.900200000000002</v>
      </c>
      <c r="I9" s="9">
        <v>14.442</v>
      </c>
      <c r="J9" s="9">
        <f t="shared" si="1"/>
        <v>4.4582000000000015</v>
      </c>
      <c r="K9" s="9">
        <f t="shared" ref="K9:K14" si="27">I9-G9</f>
        <v>4.3818000000000001</v>
      </c>
      <c r="L9" s="1" t="s">
        <v>1</v>
      </c>
      <c r="M9" s="1" t="s">
        <v>1</v>
      </c>
      <c r="N9" s="1" t="s">
        <v>1</v>
      </c>
      <c r="O9" s="1" t="s">
        <v>1</v>
      </c>
      <c r="P9" s="1">
        <v>4873</v>
      </c>
      <c r="Q9" s="9">
        <v>0</v>
      </c>
      <c r="R9" s="9">
        <v>0</v>
      </c>
      <c r="S9" s="9">
        <v>0</v>
      </c>
      <c r="T9" s="9">
        <v>0</v>
      </c>
      <c r="U9" s="9">
        <f t="shared" si="6"/>
        <v>1.7051594710970546</v>
      </c>
      <c r="V9" s="9">
        <f t="shared" si="7"/>
        <v>0</v>
      </c>
      <c r="W9" s="9">
        <f t="shared" si="8"/>
        <v>0</v>
      </c>
      <c r="X9" s="9">
        <f t="shared" si="9"/>
        <v>0</v>
      </c>
      <c r="Y9" s="9">
        <f t="shared" si="10"/>
        <v>0</v>
      </c>
      <c r="Z9" s="9">
        <f t="shared" si="11"/>
        <v>1.120289772510765E-3</v>
      </c>
      <c r="AA9" s="9">
        <f t="shared" si="12"/>
        <v>0</v>
      </c>
      <c r="AB9" s="9">
        <f t="shared" si="13"/>
        <v>0</v>
      </c>
      <c r="AC9" s="9">
        <f t="shared" si="14"/>
        <v>0</v>
      </c>
      <c r="AD9" s="9">
        <f t="shared" si="15"/>
        <v>0</v>
      </c>
      <c r="AE9" s="9">
        <f t="shared" si="16"/>
        <v>4.102613687459513E-5</v>
      </c>
      <c r="AF9" s="9">
        <f t="shared" si="17"/>
        <v>0</v>
      </c>
      <c r="AG9" s="9">
        <f t="shared" si="18"/>
        <v>0</v>
      </c>
      <c r="AH9" s="9">
        <f t="shared" si="19"/>
        <v>0</v>
      </c>
      <c r="AI9" s="9">
        <f t="shared" si="20"/>
        <v>0</v>
      </c>
      <c r="AJ9" s="9">
        <f t="shared" si="21"/>
        <v>5.1742441903645951E-6</v>
      </c>
      <c r="AK9" s="9">
        <f t="shared" si="22"/>
        <v>0</v>
      </c>
      <c r="AL9" s="9">
        <f t="shared" si="23"/>
        <v>0</v>
      </c>
      <c r="AM9" s="9">
        <f t="shared" si="24"/>
        <v>0</v>
      </c>
      <c r="AN9" s="9">
        <f t="shared" si="25"/>
        <v>0</v>
      </c>
      <c r="AO9" s="9">
        <f t="shared" si="26"/>
        <v>1.1808490096226654E-3</v>
      </c>
      <c r="AP9" s="9"/>
      <c r="AQ9" s="9"/>
      <c r="AR9" s="9"/>
      <c r="AS9" s="9"/>
      <c r="AT9" s="9"/>
      <c r="AU9">
        <f>AVERAGE(AK7:AK8)</f>
        <v>2.6367276836712781E-2</v>
      </c>
      <c r="AV9">
        <f t="shared" ref="AV9:AY9" si="28">AVERAGE(AL7:AL8)</f>
        <v>4.3325126069689341</v>
      </c>
      <c r="AW9">
        <f t="shared" si="28"/>
        <v>1.9646956325544416</v>
      </c>
      <c r="AX9">
        <f t="shared" si="28"/>
        <v>2.9588608791827418E-5</v>
      </c>
      <c r="AY9">
        <f t="shared" si="28"/>
        <v>0.31629608658803465</v>
      </c>
      <c r="BF9" s="9"/>
    </row>
    <row r="10" spans="2:60" x14ac:dyDescent="0.25">
      <c r="B10" t="s">
        <v>93</v>
      </c>
      <c r="C10" s="9" t="s">
        <v>121</v>
      </c>
      <c r="D10" s="9"/>
      <c r="E10" s="9"/>
      <c r="F10" s="8">
        <v>0.51250000000000007</v>
      </c>
      <c r="G10" s="9">
        <v>10.0283</v>
      </c>
      <c r="H10" s="9">
        <v>19.0962</v>
      </c>
      <c r="I10" s="9">
        <v>14.521599999999999</v>
      </c>
      <c r="J10" s="9">
        <f t="shared" si="1"/>
        <v>4.5746000000000002</v>
      </c>
      <c r="K10" s="9">
        <f t="shared" si="27"/>
        <v>4.4932999999999996</v>
      </c>
      <c r="L10" s="1" t="s">
        <v>1</v>
      </c>
      <c r="M10" s="1" t="s">
        <v>1</v>
      </c>
      <c r="N10" s="1" t="s">
        <v>1</v>
      </c>
      <c r="O10" s="1" t="s">
        <v>1</v>
      </c>
      <c r="P10" s="1">
        <v>7686</v>
      </c>
      <c r="Q10" s="9">
        <v>0</v>
      </c>
      <c r="R10" s="9">
        <v>0</v>
      </c>
      <c r="S10" s="9">
        <v>0</v>
      </c>
      <c r="T10" s="9">
        <v>0</v>
      </c>
      <c r="U10" s="9">
        <f t="shared" si="6"/>
        <v>2.2411119155584345</v>
      </c>
      <c r="V10" s="9">
        <f t="shared" si="7"/>
        <v>0</v>
      </c>
      <c r="W10" s="9">
        <f t="shared" si="8"/>
        <v>0</v>
      </c>
      <c r="X10" s="9">
        <f t="shared" si="9"/>
        <v>0</v>
      </c>
      <c r="Y10" s="9">
        <f t="shared" si="10"/>
        <v>0</v>
      </c>
      <c r="Z10" s="9">
        <f t="shared" si="11"/>
        <v>1.4724105285218916E-3</v>
      </c>
      <c r="AA10" s="9">
        <f t="shared" si="12"/>
        <v>0</v>
      </c>
      <c r="AB10" s="9">
        <f t="shared" si="13"/>
        <v>0</v>
      </c>
      <c r="AC10" s="9">
        <f t="shared" si="14"/>
        <v>0</v>
      </c>
      <c r="AD10" s="9">
        <f t="shared" si="15"/>
        <v>0</v>
      </c>
      <c r="AE10" s="9">
        <f t="shared" si="16"/>
        <v>5.3921152688335934E-5</v>
      </c>
      <c r="AF10" s="9">
        <f t="shared" si="17"/>
        <v>0</v>
      </c>
      <c r="AG10" s="9">
        <f t="shared" si="18"/>
        <v>0</v>
      </c>
      <c r="AH10" s="9">
        <f t="shared" si="19"/>
        <v>0</v>
      </c>
      <c r="AI10" s="9">
        <f t="shared" si="20"/>
        <v>0</v>
      </c>
      <c r="AJ10" s="9">
        <f t="shared" si="21"/>
        <v>6.9779731191507451E-6</v>
      </c>
      <c r="AK10" s="9">
        <f t="shared" si="22"/>
        <v>0</v>
      </c>
      <c r="AL10" s="9">
        <f t="shared" si="23"/>
        <v>0</v>
      </c>
      <c r="AM10" s="9">
        <f t="shared" si="24"/>
        <v>0</v>
      </c>
      <c r="AN10" s="9">
        <f t="shared" si="25"/>
        <v>0</v>
      </c>
      <c r="AO10" s="9">
        <f t="shared" si="26"/>
        <v>1.5529728972360506E-3</v>
      </c>
      <c r="AP10" s="9"/>
      <c r="AQ10" s="9"/>
      <c r="AR10" s="9"/>
      <c r="AS10" s="9"/>
      <c r="AT10" s="9"/>
      <c r="BF10" s="9"/>
    </row>
    <row r="11" spans="2:60" x14ac:dyDescent="0.25">
      <c r="B11" t="s">
        <v>94</v>
      </c>
      <c r="C11" s="9" t="s">
        <v>122</v>
      </c>
      <c r="D11" s="9"/>
      <c r="E11" s="9"/>
      <c r="F11" s="8">
        <v>0.5131944444444444</v>
      </c>
      <c r="G11" s="9">
        <v>9.9933999999999994</v>
      </c>
      <c r="H11" s="9">
        <v>18.848199999999999</v>
      </c>
      <c r="I11" s="9">
        <v>14.5383</v>
      </c>
      <c r="J11" s="9">
        <f t="shared" si="1"/>
        <v>4.309899999999999</v>
      </c>
      <c r="K11" s="9">
        <f t="shared" si="27"/>
        <v>4.5449000000000002</v>
      </c>
      <c r="L11" s="1" t="s">
        <v>1</v>
      </c>
      <c r="M11" s="1" t="s">
        <v>1</v>
      </c>
      <c r="N11" s="1" t="s">
        <v>1</v>
      </c>
      <c r="O11" s="1" t="s">
        <v>1</v>
      </c>
      <c r="P11" s="1">
        <v>7099</v>
      </c>
      <c r="Q11" s="9">
        <v>0</v>
      </c>
      <c r="R11" s="9">
        <v>0</v>
      </c>
      <c r="S11" s="9">
        <v>0</v>
      </c>
      <c r="T11" s="9">
        <v>0</v>
      </c>
      <c r="U11" s="9">
        <f t="shared" si="6"/>
        <v>2.1292725679228748</v>
      </c>
      <c r="V11" s="9">
        <f t="shared" si="7"/>
        <v>0</v>
      </c>
      <c r="W11" s="9">
        <f t="shared" si="8"/>
        <v>0</v>
      </c>
      <c r="X11" s="9">
        <f t="shared" si="9"/>
        <v>0</v>
      </c>
      <c r="Y11" s="9">
        <f t="shared" si="10"/>
        <v>0</v>
      </c>
      <c r="Z11" s="9">
        <f t="shared" si="11"/>
        <v>1.398932077125329E-3</v>
      </c>
      <c r="AA11" s="9">
        <f t="shared" si="12"/>
        <v>0</v>
      </c>
      <c r="AB11" s="9">
        <f t="shared" si="13"/>
        <v>0</v>
      </c>
      <c r="AC11" s="9">
        <f t="shared" si="14"/>
        <v>0</v>
      </c>
      <c r="AD11" s="9">
        <f t="shared" si="15"/>
        <v>0</v>
      </c>
      <c r="AE11" s="9">
        <f t="shared" si="16"/>
        <v>5.1230297984224368E-5</v>
      </c>
      <c r="AF11" s="9">
        <f t="shared" si="17"/>
        <v>0</v>
      </c>
      <c r="AG11" s="9">
        <f t="shared" si="18"/>
        <v>0</v>
      </c>
      <c r="AH11" s="9">
        <f t="shared" si="19"/>
        <v>0</v>
      </c>
      <c r="AI11" s="9">
        <f t="shared" si="20"/>
        <v>0</v>
      </c>
      <c r="AJ11" s="9">
        <f t="shared" si="21"/>
        <v>6.262093940510955E-6</v>
      </c>
      <c r="AK11" s="9">
        <f t="shared" si="22"/>
        <v>0</v>
      </c>
      <c r="AL11" s="9">
        <f t="shared" si="23"/>
        <v>0</v>
      </c>
      <c r="AM11" s="9">
        <f t="shared" si="24"/>
        <v>0</v>
      </c>
      <c r="AN11" s="9">
        <f t="shared" si="25"/>
        <v>0</v>
      </c>
      <c r="AO11" s="9">
        <f t="shared" si="26"/>
        <v>1.3778287620213768E-3</v>
      </c>
      <c r="AP11" s="9"/>
      <c r="AQ11" s="9"/>
      <c r="AR11" s="9"/>
      <c r="AS11" s="9"/>
      <c r="AT11" s="9"/>
      <c r="BF11" s="9"/>
    </row>
    <row r="12" spans="2:60" x14ac:dyDescent="0.25">
      <c r="B12" t="s">
        <v>95</v>
      </c>
      <c r="C12" s="9" t="s">
        <v>117</v>
      </c>
      <c r="D12" s="10">
        <f>E12*1440</f>
        <v>0.99999999999999645</v>
      </c>
      <c r="E12" s="8">
        <f>F12-$F$3</f>
        <v>6.9444444444444198E-4</v>
      </c>
      <c r="F12" s="8">
        <v>0.5229166666666667</v>
      </c>
      <c r="G12" s="9">
        <v>10.014900000000001</v>
      </c>
      <c r="H12" s="9">
        <v>19.019100000000002</v>
      </c>
      <c r="I12" s="9">
        <v>14.8642</v>
      </c>
      <c r="J12" s="9">
        <f t="shared" si="1"/>
        <v>4.1549000000000014</v>
      </c>
      <c r="K12" s="9">
        <f t="shared" si="27"/>
        <v>4.8492999999999995</v>
      </c>
      <c r="L12" s="1" t="s">
        <v>1</v>
      </c>
      <c r="M12" s="1" t="s">
        <v>1</v>
      </c>
      <c r="N12" s="1" t="s">
        <v>1</v>
      </c>
      <c r="O12" s="1" t="s">
        <v>1</v>
      </c>
      <c r="P12" s="1">
        <v>7741</v>
      </c>
      <c r="Q12" s="12">
        <v>0</v>
      </c>
      <c r="R12" s="12">
        <v>0</v>
      </c>
      <c r="S12" s="9">
        <v>0</v>
      </c>
      <c r="T12" s="9">
        <v>0</v>
      </c>
      <c r="U12" s="9">
        <f t="shared" si="6"/>
        <v>2.2515909004305912</v>
      </c>
      <c r="V12" s="9">
        <f t="shared" si="7"/>
        <v>0</v>
      </c>
      <c r="W12" s="9">
        <f t="shared" si="8"/>
        <v>0</v>
      </c>
      <c r="X12" s="9">
        <f t="shared" si="9"/>
        <v>0</v>
      </c>
      <c r="Y12" s="9">
        <f t="shared" si="10"/>
        <v>0</v>
      </c>
      <c r="Z12" s="9">
        <f t="shared" si="11"/>
        <v>1.4792952215828986E-3</v>
      </c>
      <c r="AA12" s="9">
        <f t="shared" si="12"/>
        <v>0</v>
      </c>
      <c r="AB12" s="9">
        <f t="shared" si="13"/>
        <v>0</v>
      </c>
      <c r="AC12" s="9">
        <f t="shared" si="14"/>
        <v>0</v>
      </c>
      <c r="AD12" s="9">
        <f t="shared" si="15"/>
        <v>0</v>
      </c>
      <c r="AE12" s="9">
        <f t="shared" si="16"/>
        <v>5.4173277064360025E-5</v>
      </c>
      <c r="AF12" s="9">
        <f t="shared" si="17"/>
        <v>0</v>
      </c>
      <c r="AG12" s="9">
        <f t="shared" si="18"/>
        <v>0</v>
      </c>
      <c r="AH12" s="9">
        <f t="shared" si="19"/>
        <v>0</v>
      </c>
      <c r="AI12" s="9">
        <f t="shared" si="20"/>
        <v>0</v>
      </c>
      <c r="AJ12" s="9">
        <f t="shared" si="21"/>
        <v>6.4090261886229882E-6</v>
      </c>
      <c r="AK12" s="9">
        <f t="shared" si="22"/>
        <v>0</v>
      </c>
      <c r="AL12" s="9">
        <f t="shared" si="23"/>
        <v>0</v>
      </c>
      <c r="AM12" s="9">
        <f t="shared" si="24"/>
        <v>0</v>
      </c>
      <c r="AN12" s="9">
        <f t="shared" si="25"/>
        <v>0</v>
      </c>
      <c r="AO12" s="9">
        <f t="shared" si="26"/>
        <v>1.3216394507708307E-3</v>
      </c>
      <c r="AP12" s="9">
        <f t="shared" ref="AP12:AP14" si="29">AK12-(AVERAGE($AK$9:$AK$11))</f>
        <v>0</v>
      </c>
      <c r="AQ12" s="9">
        <f t="shared" ref="AQ12:AQ38" si="30">IF(AL12-(AVERAGE($AL$9:$AL$11))&lt;0,0,AL12-(AVERAGE($AL$9:$AL$11)))</f>
        <v>0</v>
      </c>
      <c r="AR12" s="9">
        <f t="shared" ref="AR12:AR14" si="31">IF(AM12-(AVERAGE($AM$9:$AM$11))&lt;0,0,AM12-(AVERAGE($AM$9:$AM$11)))</f>
        <v>0</v>
      </c>
      <c r="AS12" s="9">
        <f t="shared" ref="AS12:AS38" si="32">IF(AN12-(AVERAGE($AN$9:$AN$11))&lt;0,0,AN12-(AVERAGE($AN$9:$AN$11)))</f>
        <v>0</v>
      </c>
      <c r="AT12" s="9">
        <f>IF(AO12-(AVERAGE($AO$9:$AO$11))&lt;0,0,AO12-(AVERAGE($AO$9:$AO$11)))</f>
        <v>0</v>
      </c>
      <c r="AU12">
        <f>$AU$9+(($AU$19-$AU$9)/($D$19))*D12</f>
        <v>2.6334610070220168E-2</v>
      </c>
      <c r="AV12">
        <f>$AV$9+(($AV$19-$AV$9)/($D$19))*D12</f>
        <v>4.3254260991749263</v>
      </c>
      <c r="AW12">
        <f>$AW$9+(($AW$19-$AW$9)/($D$19))*D12</f>
        <v>1.9649579428065955</v>
      </c>
      <c r="AX12">
        <f>$AX$9+(($AX$19-$AX$9)/($D$19))*D12</f>
        <v>2.9560617542590989E-5</v>
      </c>
      <c r="AY12">
        <f>$AY$9+(($AY$19-$AY$9)/($D$19))*D12</f>
        <v>0.3160495626239862</v>
      </c>
      <c r="AZ12">
        <f t="shared" ref="AZ12:AZ16" si="33">AP12/AU12</f>
        <v>0</v>
      </c>
      <c r="BA12">
        <f t="shared" ref="BA12:BA17" si="34">AQ12/AV12</f>
        <v>0</v>
      </c>
      <c r="BB12">
        <f t="shared" ref="BB12:BB37" si="35">AR12/AW12</f>
        <v>0</v>
      </c>
      <c r="BC12">
        <f t="shared" ref="BC12" si="36">AS12/AX12</f>
        <v>0</v>
      </c>
      <c r="BD12">
        <f t="shared" ref="BD12:BD37" si="37">AT12/AY12</f>
        <v>0</v>
      </c>
      <c r="BG12" s="10">
        <v>0.99999999999999645</v>
      </c>
      <c r="BH12">
        <v>0</v>
      </c>
    </row>
    <row r="13" spans="2:60" x14ac:dyDescent="0.25">
      <c r="B13" t="s">
        <v>96</v>
      </c>
      <c r="C13" s="9" t="s">
        <v>117</v>
      </c>
      <c r="D13" s="10">
        <f t="shared" ref="D13:D37" si="38">E13*1440</f>
        <v>20.999999999999925</v>
      </c>
      <c r="E13" s="8">
        <f t="shared" ref="E13:E17" si="39">F13-$F$3</f>
        <v>1.4583333333333282E-2</v>
      </c>
      <c r="F13" s="8">
        <v>0.53680555555555554</v>
      </c>
      <c r="G13" s="9">
        <v>10.009600000000001</v>
      </c>
      <c r="H13" s="9">
        <v>18.859300000000001</v>
      </c>
      <c r="I13" s="9">
        <v>14.2051</v>
      </c>
      <c r="J13" s="9">
        <f t="shared" si="1"/>
        <v>4.6542000000000012</v>
      </c>
      <c r="K13" s="9">
        <f t="shared" si="27"/>
        <v>4.1954999999999991</v>
      </c>
      <c r="L13" s="1" t="s">
        <v>1</v>
      </c>
      <c r="M13" s="1" t="s">
        <v>1</v>
      </c>
      <c r="N13" s="1" t="s">
        <v>1</v>
      </c>
      <c r="O13" s="1" t="s">
        <v>1</v>
      </c>
      <c r="P13" s="1">
        <v>6578</v>
      </c>
      <c r="Q13" s="12">
        <v>0</v>
      </c>
      <c r="R13" s="12">
        <v>0</v>
      </c>
      <c r="S13" s="9">
        <v>0</v>
      </c>
      <c r="T13" s="9">
        <v>0</v>
      </c>
      <c r="U13" s="9">
        <f t="shared" si="6"/>
        <v>2.0300080021339024</v>
      </c>
      <c r="V13" s="9">
        <f t="shared" si="7"/>
        <v>0</v>
      </c>
      <c r="W13" s="9">
        <f t="shared" si="8"/>
        <v>0</v>
      </c>
      <c r="X13" s="9">
        <f t="shared" si="9"/>
        <v>0</v>
      </c>
      <c r="Y13" s="9">
        <f t="shared" si="10"/>
        <v>0</v>
      </c>
      <c r="Z13" s="9">
        <f t="shared" si="11"/>
        <v>1.3337152574019739E-3</v>
      </c>
      <c r="AA13" s="9">
        <f t="shared" si="12"/>
        <v>0</v>
      </c>
      <c r="AB13" s="9">
        <f t="shared" si="13"/>
        <v>0</v>
      </c>
      <c r="AC13" s="9">
        <f t="shared" si="14"/>
        <v>0</v>
      </c>
      <c r="AD13" s="9">
        <f t="shared" si="15"/>
        <v>0</v>
      </c>
      <c r="AE13" s="9">
        <f t="shared" si="16"/>
        <v>4.884199253134169E-5</v>
      </c>
      <c r="AF13" s="9">
        <f t="shared" si="17"/>
        <v>0</v>
      </c>
      <c r="AG13" s="9">
        <f t="shared" si="18"/>
        <v>0</v>
      </c>
      <c r="AH13" s="9">
        <f t="shared" si="19"/>
        <v>0</v>
      </c>
      <c r="AI13" s="9">
        <f t="shared" si="20"/>
        <v>0</v>
      </c>
      <c r="AJ13" s="9">
        <f t="shared" si="21"/>
        <v>6.412294130665513E-6</v>
      </c>
      <c r="AK13" s="9">
        <f t="shared" si="22"/>
        <v>0</v>
      </c>
      <c r="AL13" s="9">
        <f t="shared" si="23"/>
        <v>0</v>
      </c>
      <c r="AM13" s="9">
        <f t="shared" si="24"/>
        <v>0</v>
      </c>
      <c r="AN13" s="9">
        <f t="shared" si="25"/>
        <v>0</v>
      </c>
      <c r="AO13" s="9">
        <f t="shared" si="26"/>
        <v>1.5283742416077974E-3</v>
      </c>
      <c r="AP13" s="9">
        <f t="shared" si="29"/>
        <v>0</v>
      </c>
      <c r="AQ13" s="9">
        <f t="shared" si="30"/>
        <v>0</v>
      </c>
      <c r="AR13" s="9">
        <f t="shared" si="31"/>
        <v>0</v>
      </c>
      <c r="AS13" s="9">
        <f t="shared" si="32"/>
        <v>0</v>
      </c>
      <c r="AT13" s="9">
        <f t="shared" ref="AT13:AT20" si="40">IF(AO13-(AVERAGE($AO$9:$AO$11))&lt;0,0,AO13-(AVERAGE($AO$9:$AO$11)))</f>
        <v>1.5782401864776669E-4</v>
      </c>
      <c r="AU13">
        <f t="shared" ref="AU13:AU18" si="41">$AU$9+(($AU$19-$AU$9)/($D$19))*D13</f>
        <v>2.5681274740367931E-2</v>
      </c>
      <c r="AV13">
        <f t="shared" ref="AV13:AV18" si="42">$AV$9+(($AV$19-$AV$9)/($D$19))*D13</f>
        <v>4.1836959432947625</v>
      </c>
      <c r="AW13">
        <f t="shared" ref="AW13:AW18" si="43">$AW$9+(($AW$19-$AW$9)/($D$19))*D13</f>
        <v>1.9702041478496732</v>
      </c>
      <c r="AX13">
        <f t="shared" ref="AX13:AX18" si="44">$AX$9+(($AX$19-$AX$9)/($D$19))*D13</f>
        <v>2.9000792557862411E-5</v>
      </c>
      <c r="AY13">
        <f t="shared" ref="AY13:AY18" si="45">$AY$9+(($AY$19-$AY$9)/($D$19))*D13</f>
        <v>0.31111908334301741</v>
      </c>
      <c r="AZ13">
        <f t="shared" si="33"/>
        <v>0</v>
      </c>
      <c r="BA13">
        <f t="shared" si="34"/>
        <v>0</v>
      </c>
      <c r="BB13">
        <f t="shared" si="35"/>
        <v>0</v>
      </c>
      <c r="BC13">
        <f t="shared" ref="BC13:BC29" si="46">AS13/AX13</f>
        <v>0</v>
      </c>
      <c r="BD13">
        <f t="shared" si="37"/>
        <v>5.0727848948359537E-4</v>
      </c>
      <c r="BF13" s="9"/>
      <c r="BG13" s="17">
        <v>11</v>
      </c>
      <c r="BH13">
        <v>0</v>
      </c>
    </row>
    <row r="14" spans="2:60" x14ac:dyDescent="0.25">
      <c r="B14" t="s">
        <v>5</v>
      </c>
      <c r="C14" s="12" t="s">
        <v>117</v>
      </c>
      <c r="D14" s="10">
        <f t="shared" si="38"/>
        <v>41.000000000000014</v>
      </c>
      <c r="E14" s="8">
        <f t="shared" si="39"/>
        <v>2.8472222222222232E-2</v>
      </c>
      <c r="F14" s="8">
        <v>0.55069444444444449</v>
      </c>
      <c r="G14" s="12">
        <v>9.9963999999999995</v>
      </c>
      <c r="H14" s="12">
        <v>18.916699999999999</v>
      </c>
      <c r="I14" s="12">
        <v>14.6966</v>
      </c>
      <c r="J14" s="12">
        <f>H14-I14</f>
        <v>4.2200999999999986</v>
      </c>
      <c r="K14" s="12">
        <f t="shared" si="27"/>
        <v>4.7002000000000006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9513</v>
      </c>
      <c r="Q14" s="12">
        <v>0</v>
      </c>
      <c r="R14" s="12">
        <v>0</v>
      </c>
      <c r="S14" s="12">
        <v>0</v>
      </c>
      <c r="T14" s="12">
        <v>0</v>
      </c>
      <c r="U14" s="12">
        <f t="shared" si="6"/>
        <v>2.5892047403117022</v>
      </c>
      <c r="V14" s="12">
        <f t="shared" si="7"/>
        <v>0</v>
      </c>
      <c r="W14" s="12">
        <f t="shared" si="8"/>
        <v>0</v>
      </c>
      <c r="X14" s="12">
        <f t="shared" si="9"/>
        <v>0</v>
      </c>
      <c r="Y14" s="12">
        <f t="shared" si="10"/>
        <v>0</v>
      </c>
      <c r="Z14" s="12">
        <f t="shared" si="11"/>
        <v>1.7011075143847883E-3</v>
      </c>
      <c r="AA14" s="12">
        <f t="shared" si="12"/>
        <v>0</v>
      </c>
      <c r="AB14" s="12">
        <f t="shared" si="13"/>
        <v>0</v>
      </c>
      <c r="AC14" s="12">
        <f t="shared" si="14"/>
        <v>0</v>
      </c>
      <c r="AD14" s="12">
        <f t="shared" si="15"/>
        <v>0</v>
      </c>
      <c r="AE14" s="12">
        <f t="shared" si="16"/>
        <v>6.2296266051899561E-5</v>
      </c>
      <c r="AF14" s="12">
        <f t="shared" si="17"/>
        <v>0</v>
      </c>
      <c r="AG14" s="12">
        <f t="shared" si="18"/>
        <v>0</v>
      </c>
      <c r="AH14" s="12">
        <f t="shared" si="19"/>
        <v>0</v>
      </c>
      <c r="AI14" s="12">
        <f t="shared" si="20"/>
        <v>0</v>
      </c>
      <c r="AJ14" s="12">
        <f t="shared" si="21"/>
        <v>7.4716487311523817E-6</v>
      </c>
      <c r="AK14" s="12">
        <f t="shared" si="22"/>
        <v>0</v>
      </c>
      <c r="AL14" s="12">
        <f t="shared" si="23"/>
        <v>0</v>
      </c>
      <c r="AM14" s="12">
        <f t="shared" si="24"/>
        <v>0</v>
      </c>
      <c r="AN14" s="12">
        <f t="shared" si="25"/>
        <v>0</v>
      </c>
      <c r="AO14" s="12">
        <f t="shared" si="26"/>
        <v>1.5896448515281012E-3</v>
      </c>
      <c r="AP14" s="12">
        <f t="shared" si="29"/>
        <v>0</v>
      </c>
      <c r="AQ14" s="12">
        <f t="shared" si="30"/>
        <v>0</v>
      </c>
      <c r="AR14" s="12">
        <f t="shared" si="31"/>
        <v>0</v>
      </c>
      <c r="AS14" s="12">
        <f t="shared" si="32"/>
        <v>0</v>
      </c>
      <c r="AT14" s="12">
        <f t="shared" si="40"/>
        <v>2.190946285680704E-4</v>
      </c>
      <c r="AU14">
        <f t="shared" si="41"/>
        <v>2.502793941051569E-2</v>
      </c>
      <c r="AV14">
        <f t="shared" si="42"/>
        <v>4.0419657874145978</v>
      </c>
      <c r="AW14">
        <f t="shared" si="43"/>
        <v>1.9754503528927509</v>
      </c>
      <c r="AX14">
        <f t="shared" si="44"/>
        <v>2.8440967573133826E-5</v>
      </c>
      <c r="AY14">
        <f t="shared" si="45"/>
        <v>0.30618860406204851</v>
      </c>
      <c r="AZ14">
        <f t="shared" si="33"/>
        <v>0</v>
      </c>
      <c r="BA14">
        <f t="shared" si="34"/>
        <v>0</v>
      </c>
      <c r="BB14">
        <f t="shared" si="35"/>
        <v>0</v>
      </c>
      <c r="BC14">
        <f t="shared" si="46"/>
        <v>0</v>
      </c>
      <c r="BD14">
        <f t="shared" si="37"/>
        <v>7.1555448394046471E-4</v>
      </c>
      <c r="BF14" s="12"/>
      <c r="BG14" s="10">
        <v>20.999999999999925</v>
      </c>
      <c r="BH14">
        <v>0</v>
      </c>
    </row>
    <row r="15" spans="2:60" x14ac:dyDescent="0.25">
      <c r="B15" t="s">
        <v>97</v>
      </c>
      <c r="C15" s="9" t="s">
        <v>117</v>
      </c>
      <c r="D15" s="10">
        <f t="shared" si="38"/>
        <v>60.999999999999943</v>
      </c>
      <c r="E15" s="8">
        <f t="shared" si="39"/>
        <v>4.2361111111111072E-2</v>
      </c>
      <c r="F15" s="8">
        <v>0.56458333333333333</v>
      </c>
      <c r="G15" s="12">
        <v>9.9341000000000008</v>
      </c>
      <c r="H15" s="12">
        <v>18.793099999999999</v>
      </c>
      <c r="I15" s="9">
        <v>14.7804</v>
      </c>
      <c r="J15" s="12">
        <f t="shared" ref="J15:J37" si="47">H15-I15</f>
        <v>4.0126999999999988</v>
      </c>
      <c r="K15" s="12">
        <f t="shared" ref="K15:K37" si="48">I15-G15</f>
        <v>4.8462999999999994</v>
      </c>
      <c r="L15" s="1">
        <v>6588</v>
      </c>
      <c r="M15" s="1">
        <v>701</v>
      </c>
      <c r="N15" s="1">
        <v>6011344</v>
      </c>
      <c r="O15" s="1" t="s">
        <v>1</v>
      </c>
      <c r="P15" s="1">
        <v>164461</v>
      </c>
      <c r="Q15" s="12">
        <f t="shared" si="3"/>
        <v>4.8607022440435568</v>
      </c>
      <c r="R15" s="12">
        <v>0</v>
      </c>
      <c r="S15" s="12">
        <f t="shared" si="5"/>
        <v>84.645570714419492</v>
      </c>
      <c r="T15" s="12">
        <v>0</v>
      </c>
      <c r="U15" s="9">
        <f t="shared" si="6"/>
        <v>32.110981976146022</v>
      </c>
      <c r="V15" s="9">
        <f t="shared" si="7"/>
        <v>6.0180354483503279E-3</v>
      </c>
      <c r="W15" s="9">
        <v>0</v>
      </c>
      <c r="X15" s="9">
        <f t="shared" si="9"/>
        <v>0.1530730500799562</v>
      </c>
      <c r="Y15" s="9">
        <f t="shared" si="10"/>
        <v>0</v>
      </c>
      <c r="Z15" s="9">
        <f t="shared" si="11"/>
        <v>2.1096915158327938E-2</v>
      </c>
      <c r="AA15" s="9">
        <f t="shared" si="12"/>
        <v>2.777065013089405E-4</v>
      </c>
      <c r="AB15" s="9">
        <f>(R15/1000000)*0.00037*4*1000</f>
        <v>0</v>
      </c>
      <c r="AC15" s="9">
        <f t="shared" si="14"/>
        <v>9.1268663394969238E-2</v>
      </c>
      <c r="AD15" s="9">
        <f t="shared" si="15"/>
        <v>0</v>
      </c>
      <c r="AE15" s="9">
        <f t="shared" si="16"/>
        <v>7.7259022634607337E-4</v>
      </c>
      <c r="AF15" s="9">
        <f t="shared" si="17"/>
        <v>2.5494419860888871E-5</v>
      </c>
      <c r="AG15" s="9">
        <f t="shared" si="18"/>
        <v>0</v>
      </c>
      <c r="AH15" s="9">
        <f t="shared" si="19"/>
        <v>1.0565515514668793E-3</v>
      </c>
      <c r="AI15" s="9">
        <f t="shared" si="20"/>
        <v>0</v>
      </c>
      <c r="AJ15" s="9">
        <f t="shared" si="21"/>
        <v>8.839979546976347E-5</v>
      </c>
      <c r="AK15" s="9">
        <f t="shared" si="22"/>
        <v>5.260594651773285E-3</v>
      </c>
      <c r="AL15" s="9">
        <f t="shared" si="23"/>
        <v>0</v>
      </c>
      <c r="AM15" s="9">
        <f t="shared" si="24"/>
        <v>0.21801199914715957</v>
      </c>
      <c r="AN15" s="9">
        <f t="shared" si="25"/>
        <v>0</v>
      </c>
      <c r="AO15" s="9">
        <f t="shared" si="26"/>
        <v>1.8240677520946595E-2</v>
      </c>
      <c r="AP15" s="9">
        <f>AK15-(AVERAGE($AK$9:$AK$11))</f>
        <v>5.260594651773285E-3</v>
      </c>
      <c r="AQ15" s="9">
        <f>IF(AL15-(AVERAGE($AL$9:$AL$11))&lt;0,0,AL15-(AVERAGE($AL$9:$AL$11)))</f>
        <v>0</v>
      </c>
      <c r="AR15" s="9">
        <f>IF(AM15-(AVERAGE($AM$9:$AM$11))&lt;0,0,AM15-(AVERAGE($AM$9:$AM$11)))</f>
        <v>0.21801199914715957</v>
      </c>
      <c r="AS15" s="9">
        <f>IF(AN15-(AVERAGE($AN$9:$AN$11))&lt;0,0,AN15-(AVERAGE($AN$9:$AN$11)))</f>
        <v>0</v>
      </c>
      <c r="AT15" s="9">
        <f t="shared" si="40"/>
        <v>1.6870127297986565E-2</v>
      </c>
      <c r="AU15">
        <f t="shared" si="41"/>
        <v>2.4374604080663453E-2</v>
      </c>
      <c r="AV15">
        <f t="shared" si="42"/>
        <v>3.900235631534434</v>
      </c>
      <c r="AW15">
        <f t="shared" si="43"/>
        <v>1.9806965579358284</v>
      </c>
      <c r="AX15">
        <f t="shared" si="44"/>
        <v>2.7881142588405248E-5</v>
      </c>
      <c r="AY15">
        <f t="shared" si="45"/>
        <v>0.30125812478107972</v>
      </c>
      <c r="AZ15">
        <f t="shared" si="33"/>
        <v>0.21582277334082126</v>
      </c>
      <c r="BA15">
        <f t="shared" si="34"/>
        <v>0</v>
      </c>
      <c r="BB15">
        <f t="shared" si="35"/>
        <v>0.1100683485684246</v>
      </c>
      <c r="BC15">
        <f t="shared" si="46"/>
        <v>0</v>
      </c>
      <c r="BD15">
        <f t="shared" si="37"/>
        <v>5.5998912262518602E-2</v>
      </c>
      <c r="BG15" s="17">
        <v>31</v>
      </c>
      <c r="BH15">
        <v>0</v>
      </c>
    </row>
    <row r="16" spans="2:60" x14ac:dyDescent="0.25">
      <c r="B16" t="s">
        <v>98</v>
      </c>
      <c r="C16" s="9" t="s">
        <v>117</v>
      </c>
      <c r="D16" s="10">
        <f t="shared" si="38"/>
        <v>80.999999999999872</v>
      </c>
      <c r="E16" s="8">
        <f t="shared" si="39"/>
        <v>5.6249999999999911E-2</v>
      </c>
      <c r="F16" s="8">
        <v>0.57847222222222217</v>
      </c>
      <c r="G16" s="9">
        <v>9.9987999999999992</v>
      </c>
      <c r="H16" s="9">
        <v>18.8306</v>
      </c>
      <c r="I16" s="9">
        <v>14.6096</v>
      </c>
      <c r="J16" s="12">
        <f t="shared" si="47"/>
        <v>4.2210000000000001</v>
      </c>
      <c r="K16" s="12">
        <f t="shared" si="48"/>
        <v>4.6108000000000011</v>
      </c>
      <c r="L16" s="1">
        <v>65804</v>
      </c>
      <c r="M16" s="1">
        <v>8950</v>
      </c>
      <c r="N16" s="1">
        <v>40606067</v>
      </c>
      <c r="O16" s="1">
        <v>540191</v>
      </c>
      <c r="P16" s="1">
        <v>1336133</v>
      </c>
      <c r="Q16" s="9">
        <f t="shared" si="3"/>
        <v>10.892626131953428</v>
      </c>
      <c r="R16" s="12">
        <f t="shared" si="4"/>
        <v>1820.0641764400154</v>
      </c>
      <c r="S16" s="9">
        <f t="shared" si="5"/>
        <v>583.0352527624508</v>
      </c>
      <c r="T16" s="12">
        <f t="shared" si="0"/>
        <v>2.2607640000000002E-3</v>
      </c>
      <c r="U16" s="9">
        <f t="shared" si="6"/>
        <v>255.34613039667718</v>
      </c>
      <c r="V16" s="9">
        <f t="shared" si="7"/>
        <v>1.348616041397154E-2</v>
      </c>
      <c r="W16" s="9">
        <f t="shared" si="8"/>
        <v>1.1097952295365947</v>
      </c>
      <c r="X16" s="9">
        <f t="shared" si="9"/>
        <v>1.054360951095616</v>
      </c>
      <c r="Y16" s="9">
        <f t="shared" si="10"/>
        <v>1.36511712612E-5</v>
      </c>
      <c r="Z16" s="9">
        <f t="shared" si="11"/>
        <v>0.16776240767061693</v>
      </c>
      <c r="AA16" s="9">
        <f t="shared" si="12"/>
        <v>6.2232840879689522E-4</v>
      </c>
      <c r="AB16" s="9">
        <f t="shared" si="13"/>
        <v>2.6936949811312227E-3</v>
      </c>
      <c r="AC16" s="9">
        <f t="shared" si="14"/>
        <v>0.62865484611484879</v>
      </c>
      <c r="AD16" s="9">
        <f t="shared" si="15"/>
        <v>7.924972556159999E-8</v>
      </c>
      <c r="AE16" s="9">
        <f t="shared" si="16"/>
        <v>6.1436278973440528E-3</v>
      </c>
      <c r="AF16" s="9">
        <f t="shared" si="17"/>
        <v>5.9794514934654592E-5</v>
      </c>
      <c r="AG16" s="9">
        <f t="shared" si="18"/>
        <v>4.6968657526929667E-3</v>
      </c>
      <c r="AH16" s="9">
        <f t="shared" si="19"/>
        <v>7.349059339040941E-3</v>
      </c>
      <c r="AI16" s="9">
        <f t="shared" si="20"/>
        <v>5.7986998528144625E-8</v>
      </c>
      <c r="AJ16" s="9">
        <f t="shared" si="21"/>
        <v>7.3645216228674802E-4</v>
      </c>
      <c r="AK16" s="9">
        <f t="shared" si="22"/>
        <v>1.2968360140247805E-2</v>
      </c>
      <c r="AL16" s="9">
        <f t="shared" si="23"/>
        <v>1.0186661214307637</v>
      </c>
      <c r="AM16" s="9">
        <f t="shared" si="24"/>
        <v>1.5938794437062851</v>
      </c>
      <c r="AN16" s="9">
        <f t="shared" si="25"/>
        <v>1.257634218099779E-5</v>
      </c>
      <c r="AO16" s="9">
        <f t="shared" si="26"/>
        <v>0.15972329363380494</v>
      </c>
      <c r="AP16" s="9">
        <f t="shared" ref="AP16:AP38" si="49">AK16-(AVERAGE($AK$11:$AK$13))</f>
        <v>1.2968360140247805E-2</v>
      </c>
      <c r="AQ16" s="9">
        <f t="shared" si="30"/>
        <v>1.0186661214307637</v>
      </c>
      <c r="AR16" s="9">
        <f t="shared" ref="AR16:AR38" si="50">IF(AM16-(AVERAGE($AM$9:$AM$11))&lt;0,0,AM16-(AVERAGE($AM$9:$AM$11)))</f>
        <v>1.5938794437062851</v>
      </c>
      <c r="AS16" s="9">
        <f t="shared" si="32"/>
        <v>1.257634218099779E-5</v>
      </c>
      <c r="AT16" s="9">
        <f t="shared" si="40"/>
        <v>0.1583527434108449</v>
      </c>
      <c r="AU16">
        <f t="shared" si="41"/>
        <v>2.3721268750811215E-2</v>
      </c>
      <c r="AV16">
        <f t="shared" si="42"/>
        <v>3.7585054756542706</v>
      </c>
      <c r="AW16">
        <f t="shared" si="43"/>
        <v>1.9859427629789062</v>
      </c>
      <c r="AX16">
        <f t="shared" si="44"/>
        <v>2.732131760367667E-5</v>
      </c>
      <c r="AY16">
        <f t="shared" si="45"/>
        <v>0.29632764550011087</v>
      </c>
      <c r="AZ16">
        <f t="shared" si="33"/>
        <v>0.54669757661273133</v>
      </c>
      <c r="BA16">
        <f t="shared" si="34"/>
        <v>0.27102956960663654</v>
      </c>
      <c r="BB16">
        <f t="shared" si="35"/>
        <v>0.80258075580963484</v>
      </c>
      <c r="BC16">
        <f t="shared" si="46"/>
        <v>0.46031243307626468</v>
      </c>
      <c r="BD16">
        <f t="shared" si="37"/>
        <v>0.53438396928370846</v>
      </c>
      <c r="BF16" s="9"/>
      <c r="BG16" s="10">
        <v>41.000000000000014</v>
      </c>
      <c r="BH16">
        <v>0</v>
      </c>
    </row>
    <row r="17" spans="2:63" x14ac:dyDescent="0.25">
      <c r="B17" t="s">
        <v>99</v>
      </c>
      <c r="C17" s="9" t="s">
        <v>117</v>
      </c>
      <c r="D17" s="10">
        <f t="shared" si="38"/>
        <v>101.99999999999996</v>
      </c>
      <c r="E17" s="8">
        <f t="shared" si="39"/>
        <v>7.0833333333333304E-2</v>
      </c>
      <c r="F17" s="8">
        <v>0.59305555555555556</v>
      </c>
      <c r="G17" s="9">
        <v>9.9718999999999998</v>
      </c>
      <c r="H17" s="9">
        <v>19.012699999999999</v>
      </c>
      <c r="I17" s="9">
        <v>15.0748</v>
      </c>
      <c r="J17" s="12">
        <f t="shared" si="47"/>
        <v>3.9378999999999991</v>
      </c>
      <c r="K17" s="12">
        <f t="shared" si="48"/>
        <v>5.1029</v>
      </c>
      <c r="L17" s="1">
        <v>118296</v>
      </c>
      <c r="M17" s="1">
        <v>13257</v>
      </c>
      <c r="N17" s="1">
        <v>49513911</v>
      </c>
      <c r="O17" s="1">
        <v>775540</v>
      </c>
      <c r="P17" s="1">
        <v>1928343</v>
      </c>
      <c r="Q17" s="9">
        <f t="shared" si="3"/>
        <v>16.239622699167779</v>
      </c>
      <c r="R17" s="9">
        <f t="shared" si="4"/>
        <v>2793.3315255462908</v>
      </c>
      <c r="S17" s="9">
        <f t="shared" si="5"/>
        <v>711.36631466728136</v>
      </c>
      <c r="T17" s="9">
        <f t="shared" si="0"/>
        <v>3.2021599999999999E-3</v>
      </c>
      <c r="U17" s="9">
        <f t="shared" si="6"/>
        <v>368.17812369012688</v>
      </c>
      <c r="V17" s="9">
        <f t="shared" si="7"/>
        <v>2.0106276863839624E-2</v>
      </c>
      <c r="W17" s="9">
        <f t="shared" si="8"/>
        <v>1.7032509302111529</v>
      </c>
      <c r="X17" s="9">
        <f t="shared" si="9"/>
        <v>1.2864348434443116</v>
      </c>
      <c r="Y17" s="9">
        <f t="shared" si="10"/>
        <v>1.9335602727999997E-5</v>
      </c>
      <c r="Z17" s="9">
        <f t="shared" si="11"/>
        <v>0.24189302726441336</v>
      </c>
      <c r="AA17" s="9">
        <f t="shared" si="12"/>
        <v>9.2781836367155268E-4</v>
      </c>
      <c r="AB17" s="9">
        <f t="shared" si="13"/>
        <v>4.1341306578085105E-3</v>
      </c>
      <c r="AC17" s="9">
        <f t="shared" si="14"/>
        <v>0.76702717195842274</v>
      </c>
      <c r="AD17" s="9">
        <f t="shared" si="15"/>
        <v>1.12249797504E-7</v>
      </c>
      <c r="AE17" s="9">
        <f t="shared" si="16"/>
        <v>8.8583656559844508E-3</v>
      </c>
      <c r="AF17" s="9">
        <f t="shared" si="17"/>
        <v>8.3911071990093604E-5</v>
      </c>
      <c r="AG17" s="9">
        <f t="shared" si="18"/>
        <v>6.7283278934122288E-3</v>
      </c>
      <c r="AH17" s="9">
        <f t="shared" si="19"/>
        <v>8.9799147257859889E-3</v>
      </c>
      <c r="AI17" s="9">
        <f t="shared" si="20"/>
        <v>7.6714469474274329E-8</v>
      </c>
      <c r="AJ17" s="9">
        <f t="shared" si="21"/>
        <v>9.9775390617045626E-4</v>
      </c>
      <c r="AK17" s="9">
        <f t="shared" si="22"/>
        <v>1.644380097397433E-2</v>
      </c>
      <c r="AL17" s="9">
        <f t="shared" si="23"/>
        <v>1.3185302266186343</v>
      </c>
      <c r="AM17" s="9">
        <f t="shared" si="24"/>
        <v>1.759766941501105</v>
      </c>
      <c r="AN17" s="9">
        <f t="shared" si="25"/>
        <v>1.5033504374821048E-5</v>
      </c>
      <c r="AO17" s="9">
        <f t="shared" si="26"/>
        <v>0.1955268388897404</v>
      </c>
      <c r="AP17" s="9">
        <f t="shared" si="49"/>
        <v>1.644380097397433E-2</v>
      </c>
      <c r="AQ17" s="9">
        <f t="shared" si="30"/>
        <v>1.3185302266186343</v>
      </c>
      <c r="AR17" s="9">
        <f t="shared" si="50"/>
        <v>1.759766941501105</v>
      </c>
      <c r="AS17" s="9">
        <f t="shared" si="32"/>
        <v>1.5033504374821048E-5</v>
      </c>
      <c r="AT17" s="9">
        <f t="shared" si="40"/>
        <v>0.19415628866678036</v>
      </c>
      <c r="AU17">
        <f t="shared" si="41"/>
        <v>2.3035266654466362E-2</v>
      </c>
      <c r="AV17">
        <f t="shared" si="42"/>
        <v>3.6096888119800976</v>
      </c>
      <c r="AW17">
        <f t="shared" si="43"/>
        <v>1.9914512782741378</v>
      </c>
      <c r="AX17">
        <f t="shared" si="44"/>
        <v>2.6733501369711657E-5</v>
      </c>
      <c r="AY17">
        <f t="shared" si="45"/>
        <v>0.29115064225509357</v>
      </c>
      <c r="AZ17">
        <f>AP17/AU17</f>
        <v>0.71385329376189366</v>
      </c>
      <c r="BA17">
        <f t="shared" si="34"/>
        <v>0.36527531742974639</v>
      </c>
      <c r="BB17">
        <f t="shared" si="35"/>
        <v>0.88366055484228634</v>
      </c>
      <c r="BC17">
        <f t="shared" si="46"/>
        <v>0.56234700299503626</v>
      </c>
      <c r="BD17">
        <f t="shared" si="37"/>
        <v>0.666858527815539</v>
      </c>
      <c r="BG17" s="17">
        <v>52</v>
      </c>
      <c r="BH17">
        <v>0</v>
      </c>
    </row>
    <row r="18" spans="2:63" x14ac:dyDescent="0.25">
      <c r="B18" t="s">
        <v>100</v>
      </c>
      <c r="C18" s="9" t="s">
        <v>117</v>
      </c>
      <c r="D18" s="10">
        <f t="shared" si="38"/>
        <v>121.99999999999989</v>
      </c>
      <c r="E18" s="8">
        <f>F18-$F$3</f>
        <v>8.4722222222222143E-2</v>
      </c>
      <c r="F18" s="8">
        <v>0.6069444444444444</v>
      </c>
      <c r="G18" s="9">
        <v>10.174799999999999</v>
      </c>
      <c r="H18" s="9">
        <v>18.935300000000002</v>
      </c>
      <c r="I18" s="9">
        <v>15.1988</v>
      </c>
      <c r="J18" s="12">
        <f t="shared" si="47"/>
        <v>3.7365000000000013</v>
      </c>
      <c r="K18" s="12">
        <f t="shared" si="48"/>
        <v>5.0240000000000009</v>
      </c>
      <c r="L18" s="1">
        <v>123256</v>
      </c>
      <c r="M18" s="1">
        <v>16565</v>
      </c>
      <c r="N18" s="1">
        <v>52286801</v>
      </c>
      <c r="O18" s="1">
        <v>922697</v>
      </c>
      <c r="P18" s="1">
        <v>2278865</v>
      </c>
      <c r="Q18" s="9">
        <f t="shared" si="3"/>
        <v>16.744863554410163</v>
      </c>
      <c r="R18" s="9">
        <f t="shared" si="4"/>
        <v>3540.8514676971054</v>
      </c>
      <c r="S18" s="9">
        <f t="shared" si="5"/>
        <v>751.31401898779768</v>
      </c>
      <c r="T18" s="9">
        <f t="shared" si="0"/>
        <v>3.7907880000000002E-3</v>
      </c>
      <c r="U18" s="9">
        <f t="shared" si="6"/>
        <v>434.96202796936325</v>
      </c>
      <c r="V18" s="9">
        <f t="shared" si="7"/>
        <v>2.0731815566715221E-2</v>
      </c>
      <c r="W18" s="9">
        <f t="shared" si="8"/>
        <v>2.15905577298604</v>
      </c>
      <c r="X18" s="9">
        <f t="shared" si="9"/>
        <v>1.3586762719375334</v>
      </c>
      <c r="Y18" s="9">
        <f t="shared" si="10"/>
        <v>2.28899151804E-5</v>
      </c>
      <c r="Z18" s="9">
        <f t="shared" si="11"/>
        <v>0.28577005237587166</v>
      </c>
      <c r="AA18" s="9">
        <f t="shared" si="12"/>
        <v>9.5668428945411591E-4</v>
      </c>
      <c r="AB18" s="9">
        <f t="shared" si="13"/>
        <v>5.2404601721917155E-3</v>
      </c>
      <c r="AC18" s="9">
        <f t="shared" si="14"/>
        <v>0.81010058440349797</v>
      </c>
      <c r="AD18" s="9">
        <f t="shared" si="15"/>
        <v>1.328837988672E-7</v>
      </c>
      <c r="AE18" s="9">
        <f t="shared" si="16"/>
        <v>1.0465186392942879E-2</v>
      </c>
      <c r="AF18" s="9">
        <f t="shared" si="17"/>
        <v>8.2270810735248924E-5</v>
      </c>
      <c r="AG18" s="9">
        <f t="shared" si="18"/>
        <v>8.093639967667432E-3</v>
      </c>
      <c r="AH18" s="9">
        <f t="shared" si="19"/>
        <v>9.1466392261377698E-3</v>
      </c>
      <c r="AI18" s="9">
        <f t="shared" si="20"/>
        <v>8.6195776277073432E-8</v>
      </c>
      <c r="AJ18" s="9">
        <f t="shared" si="21"/>
        <v>1.12035689714059E-3</v>
      </c>
      <c r="AK18" s="9">
        <f t="shared" si="22"/>
        <v>1.6375559461633941E-2</v>
      </c>
      <c r="AL18" s="9">
        <f t="shared" si="23"/>
        <v>1.6109952164943133</v>
      </c>
      <c r="AM18" s="9">
        <f t="shared" si="24"/>
        <v>1.8205890179414346</v>
      </c>
      <c r="AN18" s="9">
        <f t="shared" si="25"/>
        <v>1.7156802602920664E-5</v>
      </c>
      <c r="AO18" s="9">
        <f t="shared" si="26"/>
        <v>0.22300097474932121</v>
      </c>
      <c r="AP18" s="9">
        <f t="shared" si="49"/>
        <v>1.6375559461633941E-2</v>
      </c>
      <c r="AQ18" s="9">
        <f t="shared" si="30"/>
        <v>1.6109952164943133</v>
      </c>
      <c r="AR18" s="9">
        <f t="shared" si="50"/>
        <v>1.8205890179414346</v>
      </c>
      <c r="AS18" s="9">
        <f t="shared" si="32"/>
        <v>1.7156802602920664E-5</v>
      </c>
      <c r="AT18" s="9">
        <f t="shared" si="40"/>
        <v>0.22163042452636117</v>
      </c>
      <c r="AU18">
        <f t="shared" si="41"/>
        <v>2.2381931324614128E-2</v>
      </c>
      <c r="AV18">
        <f t="shared" si="42"/>
        <v>3.4679586560999338</v>
      </c>
      <c r="AW18">
        <f t="shared" si="43"/>
        <v>1.9966974833172155</v>
      </c>
      <c r="AX18">
        <f t="shared" si="44"/>
        <v>2.6173676384983079E-5</v>
      </c>
      <c r="AY18">
        <f t="shared" si="45"/>
        <v>0.28622016297412473</v>
      </c>
      <c r="AZ18">
        <f t="shared" ref="AZ18:AZ37" si="51">AP18/AU18</f>
        <v>0.73164193134777478</v>
      </c>
      <c r="BA18">
        <f t="shared" ref="BA18:BA37" si="52">AQ18/AV18</f>
        <v>0.46453703064212376</v>
      </c>
      <c r="BB18">
        <f t="shared" si="35"/>
        <v>0.91180012653534126</v>
      </c>
      <c r="BC18">
        <f t="shared" si="46"/>
        <v>0.65549838511659109</v>
      </c>
      <c r="BD18">
        <f t="shared" si="37"/>
        <v>0.77433547037144723</v>
      </c>
      <c r="BE18" s="15"/>
      <c r="BF18" s="16"/>
      <c r="BG18" s="10">
        <v>60.999999999999943</v>
      </c>
      <c r="BH18">
        <v>0.3177812461889748</v>
      </c>
      <c r="BI18" s="15"/>
      <c r="BJ18" s="15"/>
      <c r="BK18" s="15"/>
    </row>
    <row r="19" spans="2:63" s="4" customFormat="1" x14ac:dyDescent="0.25">
      <c r="B19" s="4" t="s">
        <v>101</v>
      </c>
      <c r="C19" s="5" t="s">
        <v>43</v>
      </c>
      <c r="D19" s="6">
        <f t="shared" si="38"/>
        <v>125.00000000000003</v>
      </c>
      <c r="E19" s="7">
        <f t="shared" ref="E19:E28" si="53">F19-$F$3</f>
        <v>8.680555555555558E-2</v>
      </c>
      <c r="F19" s="7">
        <v>0.60902777777777783</v>
      </c>
      <c r="G19" s="5">
        <v>10.1564</v>
      </c>
      <c r="H19" s="5">
        <v>19.2866</v>
      </c>
      <c r="I19" s="5">
        <v>14.997400000000001</v>
      </c>
      <c r="J19" s="5">
        <f t="shared" si="47"/>
        <v>4.2891999999999992</v>
      </c>
      <c r="K19" s="5">
        <f t="shared" si="48"/>
        <v>4.8410000000000011</v>
      </c>
      <c r="L19" s="14">
        <v>148422</v>
      </c>
      <c r="M19" s="14">
        <v>29051</v>
      </c>
      <c r="N19" s="14">
        <v>51861492</v>
      </c>
      <c r="O19" s="14">
        <v>1186203</v>
      </c>
      <c r="P19" s="14">
        <v>2479652</v>
      </c>
      <c r="Q19" s="5">
        <f t="shared" si="3"/>
        <v>19.308349716311334</v>
      </c>
      <c r="R19" s="5">
        <f t="shared" si="4"/>
        <v>6362.3550945698598</v>
      </c>
      <c r="S19" s="5">
        <f t="shared" si="5"/>
        <v>745.18679498076733</v>
      </c>
      <c r="T19" s="5">
        <f t="shared" si="0"/>
        <v>4.8448120000000004E-3</v>
      </c>
      <c r="U19" s="5">
        <f t="shared" si="6"/>
        <v>473.21737225164804</v>
      </c>
      <c r="V19" s="5">
        <f t="shared" si="7"/>
        <v>2.3905667783765058E-2</v>
      </c>
      <c r="W19" s="5">
        <f t="shared" si="8"/>
        <v>3.8794848137621094</v>
      </c>
      <c r="X19" s="5">
        <f t="shared" si="9"/>
        <v>1.3475958000432198</v>
      </c>
      <c r="Y19" s="5">
        <f t="shared" si="10"/>
        <v>2.9254428299599998E-5</v>
      </c>
      <c r="Z19" s="5">
        <f t="shared" si="11"/>
        <v>0.31090381356933283</v>
      </c>
      <c r="AA19" s="5">
        <f t="shared" si="12"/>
        <v>1.1031439443420156E-3</v>
      </c>
      <c r="AB19" s="5">
        <f t="shared" si="13"/>
        <v>9.4162855399633934E-3</v>
      </c>
      <c r="AC19" s="5">
        <f t="shared" si="14"/>
        <v>0.80349393575403749</v>
      </c>
      <c r="AD19" s="5">
        <f t="shared" si="15"/>
        <v>1.6983197777280002E-7</v>
      </c>
      <c r="AE19" s="5">
        <f t="shared" si="16"/>
        <v>1.1385609976374651E-2</v>
      </c>
      <c r="AF19" s="5">
        <f t="shared" si="17"/>
        <v>1.0787651009268477E-4</v>
      </c>
      <c r="AG19" s="5">
        <f t="shared" si="18"/>
        <v>1.6685470501487398E-2</v>
      </c>
      <c r="AH19" s="5">
        <f t="shared" si="19"/>
        <v>9.6698220485306741E-3</v>
      </c>
      <c r="AI19" s="5">
        <f t="shared" si="20"/>
        <v>1.2630025046704242E-7</v>
      </c>
      <c r="AJ19" s="5">
        <f t="shared" si="21"/>
        <v>1.388646375057212E-3</v>
      </c>
      <c r="AK19" s="5">
        <f t="shared" si="22"/>
        <v>2.2283931025136285E-2</v>
      </c>
      <c r="AL19" s="5">
        <f t="shared" si="23"/>
        <v>3.4466991327179084</v>
      </c>
      <c r="AM19" s="5">
        <f t="shared" si="24"/>
        <v>1.9974844140736772</v>
      </c>
      <c r="AN19" s="5">
        <f t="shared" si="25"/>
        <v>2.6089702637273787E-5</v>
      </c>
      <c r="AO19" s="5">
        <f t="shared" si="26"/>
        <v>0.28685114130493938</v>
      </c>
      <c r="AP19" s="5">
        <f t="shared" si="49"/>
        <v>2.2283931025136285E-2</v>
      </c>
      <c r="AQ19" s="5">
        <f t="shared" si="30"/>
        <v>3.4466991327179084</v>
      </c>
      <c r="AR19" s="5">
        <f t="shared" si="50"/>
        <v>1.9974844140736772</v>
      </c>
      <c r="AS19" s="5">
        <f t="shared" si="32"/>
        <v>2.6089702637273787E-5</v>
      </c>
      <c r="AT19" s="5">
        <f t="shared" si="40"/>
        <v>0.28548059108197937</v>
      </c>
      <c r="AU19" s="4">
        <f>AP19</f>
        <v>2.2283931025136285E-2</v>
      </c>
      <c r="AV19" s="4">
        <f t="shared" ref="AV19:AY19" si="54">AQ19</f>
        <v>3.4466991327179084</v>
      </c>
      <c r="AW19" s="4">
        <f t="shared" si="54"/>
        <v>1.9974844140736772</v>
      </c>
      <c r="AX19" s="4">
        <f t="shared" si="54"/>
        <v>2.6089702637273787E-5</v>
      </c>
      <c r="AY19" s="4">
        <f t="shared" si="54"/>
        <v>0.28548059108197937</v>
      </c>
      <c r="AZ19" s="4">
        <f t="shared" si="51"/>
        <v>1</v>
      </c>
      <c r="BA19" s="4">
        <f t="shared" si="52"/>
        <v>1</v>
      </c>
      <c r="BB19" s="4">
        <f t="shared" si="35"/>
        <v>1</v>
      </c>
      <c r="BC19" s="4">
        <f t="shared" si="46"/>
        <v>1</v>
      </c>
      <c r="BD19" s="4">
        <f t="shared" si="37"/>
        <v>1</v>
      </c>
      <c r="BE19" s="15"/>
      <c r="BF19" s="15"/>
      <c r="BG19" s="17">
        <v>71</v>
      </c>
      <c r="BH19">
        <v>0.6927484585371001</v>
      </c>
      <c r="BI19" s="15"/>
      <c r="BJ19" s="15"/>
      <c r="BK19" s="15"/>
    </row>
    <row r="20" spans="2:63" s="15" customFormat="1" x14ac:dyDescent="0.25">
      <c r="B20" s="15" t="s">
        <v>102</v>
      </c>
      <c r="C20" s="16" t="s">
        <v>117</v>
      </c>
      <c r="D20" s="17">
        <f t="shared" si="38"/>
        <v>141.99999999999997</v>
      </c>
      <c r="E20" s="18">
        <f t="shared" si="53"/>
        <v>9.8611111111111094E-2</v>
      </c>
      <c r="F20" s="18">
        <v>0.62083333333333335</v>
      </c>
      <c r="G20" s="16">
        <v>9.8039000000000005</v>
      </c>
      <c r="H20" s="16">
        <v>18.787099999999999</v>
      </c>
      <c r="I20" s="16">
        <v>14.5039</v>
      </c>
      <c r="J20" s="12">
        <f t="shared" si="47"/>
        <v>4.283199999999999</v>
      </c>
      <c r="K20" s="12">
        <f t="shared" si="48"/>
        <v>4.6999999999999993</v>
      </c>
      <c r="L20" s="1">
        <v>113025</v>
      </c>
      <c r="M20" s="1">
        <v>14945</v>
      </c>
      <c r="N20" s="1">
        <v>45534250</v>
      </c>
      <c r="O20" s="1">
        <v>871435</v>
      </c>
      <c r="P20" s="1">
        <v>2022737</v>
      </c>
      <c r="Q20" s="16">
        <f t="shared" si="3"/>
        <v>15.702702427397092</v>
      </c>
      <c r="R20" s="16">
        <f t="shared" si="4"/>
        <v>3174.774591553115</v>
      </c>
      <c r="S20" s="16">
        <f t="shared" si="5"/>
        <v>654.03323584919247</v>
      </c>
      <c r="T20" s="16">
        <f t="shared" si="0"/>
        <v>3.58574E-3</v>
      </c>
      <c r="U20" s="16">
        <f t="shared" si="6"/>
        <v>386.16272910871464</v>
      </c>
      <c r="V20" s="16">
        <f t="shared" si="7"/>
        <v>1.9441515875360339E-2</v>
      </c>
      <c r="W20" s="16">
        <f t="shared" si="8"/>
        <v>1.9358381655811678</v>
      </c>
      <c r="X20" s="16">
        <f t="shared" si="9"/>
        <v>1.1827537037096798</v>
      </c>
      <c r="Y20" s="16">
        <f t="shared" si="10"/>
        <v>2.1651773842000001E-5</v>
      </c>
      <c r="Z20" s="16">
        <f t="shared" si="11"/>
        <v>0.25370891302442555</v>
      </c>
      <c r="AA20" s="16">
        <f t="shared" si="12"/>
        <v>8.97142497784478E-4</v>
      </c>
      <c r="AB20" s="16">
        <f t="shared" si="13"/>
        <v>4.6986663954986102E-3</v>
      </c>
      <c r="AC20" s="16">
        <f t="shared" si="14"/>
        <v>0.70520806638821254</v>
      </c>
      <c r="AD20" s="16">
        <f t="shared" si="15"/>
        <v>1.25695964256E-7</v>
      </c>
      <c r="AE20" s="16">
        <f t="shared" si="16"/>
        <v>9.291075262355673E-3</v>
      </c>
      <c r="AF20" s="16">
        <f t="shared" si="17"/>
        <v>8.7488470536930423E-5</v>
      </c>
      <c r="AG20" s="16">
        <f t="shared" si="18"/>
        <v>8.3136657628760987E-3</v>
      </c>
      <c r="AH20" s="16">
        <f t="shared" si="19"/>
        <v>8.3804485757538981E-3</v>
      </c>
      <c r="AI20" s="16">
        <f t="shared" si="20"/>
        <v>9.3329648752057588E-8</v>
      </c>
      <c r="AJ20" s="16">
        <f t="shared" si="21"/>
        <v>1.1303540699992909E-3</v>
      </c>
      <c r="AK20" s="16">
        <f t="shared" si="22"/>
        <v>1.8614568199346902E-2</v>
      </c>
      <c r="AL20" s="16">
        <f t="shared" si="23"/>
        <v>1.7688650559310852</v>
      </c>
      <c r="AM20" s="16">
        <f t="shared" si="24"/>
        <v>1.7830741650540212</v>
      </c>
      <c r="AN20" s="16">
        <f t="shared" si="25"/>
        <v>1.9857372074905872E-5</v>
      </c>
      <c r="AO20" s="16">
        <f t="shared" si="26"/>
        <v>0.240500865957296</v>
      </c>
      <c r="AP20" s="16">
        <f t="shared" si="49"/>
        <v>1.8614568199346902E-2</v>
      </c>
      <c r="AQ20" s="16">
        <f t="shared" si="30"/>
        <v>1.7688650559310852</v>
      </c>
      <c r="AR20" s="16">
        <f t="shared" si="50"/>
        <v>1.7830741650540212</v>
      </c>
      <c r="AS20" s="16">
        <f t="shared" si="32"/>
        <v>1.9857372074905872E-5</v>
      </c>
      <c r="AT20" s="16">
        <f t="shared" si="40"/>
        <v>0.23913031573433596</v>
      </c>
      <c r="AU20">
        <f>$AU$19+(($AU$25-$AU$19)/($D$25-$D$19))*(D20-$D$19)</f>
        <v>2.2189567776646938E-2</v>
      </c>
      <c r="AV20">
        <f>$AV$19+(($AV$25-$AV$19)/($D$25-$D$19))*(D20-$D$19)</f>
        <v>3.3884837388333411</v>
      </c>
      <c r="AW20">
        <f>$AW$19+(($AW$25-$AW$19)/($D$25-$D$19))*(D20-$D$19)</f>
        <v>1.967252358654846</v>
      </c>
      <c r="AX20">
        <f>$AX$19+(($AX$25-$AX$19)/($D$25-$D$19))*(D20-$D$19)</f>
        <v>2.5748053852420307E-5</v>
      </c>
      <c r="AY20">
        <f>$AY$19+(($AY$25-$AY$19)/($D$25-$D$19))*(D20-$D$19)</f>
        <v>0.28461830614643269</v>
      </c>
      <c r="AZ20" s="15">
        <f t="shared" si="51"/>
        <v>0.83888827338662775</v>
      </c>
      <c r="BA20" s="15">
        <f t="shared" si="52"/>
        <v>0.52202258953147807</v>
      </c>
      <c r="BB20" s="15">
        <f t="shared" si="35"/>
        <v>0.90637795258420173</v>
      </c>
      <c r="BC20" s="15">
        <f t="shared" si="46"/>
        <v>0.77121836814238631</v>
      </c>
      <c r="BD20" s="15">
        <f t="shared" si="37"/>
        <v>0.84017897152162202</v>
      </c>
      <c r="BF20" s="16"/>
      <c r="BG20" s="10">
        <v>80.999999999999872</v>
      </c>
      <c r="BH20">
        <v>0.95679565355605001</v>
      </c>
    </row>
    <row r="21" spans="2:63" x14ac:dyDescent="0.25">
      <c r="B21" t="s">
        <v>103</v>
      </c>
      <c r="C21" s="9" t="s">
        <v>117</v>
      </c>
      <c r="D21" s="10">
        <f t="shared" si="38"/>
        <v>160.99999999999991</v>
      </c>
      <c r="E21" s="8">
        <f t="shared" si="53"/>
        <v>0.11180555555555549</v>
      </c>
      <c r="F21" s="8">
        <v>0.63402777777777775</v>
      </c>
      <c r="G21" s="9">
        <v>10.112</v>
      </c>
      <c r="H21" s="16">
        <v>19.067799999999998</v>
      </c>
      <c r="I21" s="9">
        <v>14.710900000000001</v>
      </c>
      <c r="J21" s="12">
        <f t="shared" si="47"/>
        <v>4.3568999999999978</v>
      </c>
      <c r="K21" s="12">
        <f t="shared" si="48"/>
        <v>4.5989000000000004</v>
      </c>
      <c r="L21" s="1">
        <v>112823</v>
      </c>
      <c r="M21" s="1">
        <v>15709</v>
      </c>
      <c r="N21" s="1">
        <v>43698912</v>
      </c>
      <c r="O21" s="1">
        <v>772381</v>
      </c>
      <c r="P21" s="1">
        <v>2027493</v>
      </c>
      <c r="Q21" s="9">
        <f t="shared" si="3"/>
        <v>15.682126086115044</v>
      </c>
      <c r="R21" s="9">
        <f t="shared" si="4"/>
        <v>3347.4182541296636</v>
      </c>
      <c r="S21" s="9">
        <f t="shared" si="5"/>
        <v>627.59239623701615</v>
      </c>
      <c r="T21" s="9">
        <f t="shared" si="0"/>
        <v>3.189524E-3</v>
      </c>
      <c r="U21" s="9">
        <f t="shared" si="6"/>
        <v>387.06887550965968</v>
      </c>
      <c r="V21" s="9">
        <f t="shared" si="7"/>
        <v>1.9416040307219034E-2</v>
      </c>
      <c r="W21" s="9">
        <f t="shared" si="8"/>
        <v>2.0411086915424779</v>
      </c>
      <c r="X21" s="9">
        <f t="shared" si="9"/>
        <v>1.1349380893550201</v>
      </c>
      <c r="Y21" s="9">
        <f t="shared" si="10"/>
        <v>1.9259302769199997E-5</v>
      </c>
      <c r="Z21" s="9">
        <f t="shared" si="11"/>
        <v>0.25430425120984645</v>
      </c>
      <c r="AA21" s="9">
        <f t="shared" si="12"/>
        <v>8.9596690967801086E-4</v>
      </c>
      <c r="AB21" s="9">
        <f t="shared" si="13"/>
        <v>4.9541790161119013E-3</v>
      </c>
      <c r="AC21" s="9">
        <f t="shared" si="14"/>
        <v>0.67669836328058153</v>
      </c>
      <c r="AD21" s="9">
        <f t="shared" si="15"/>
        <v>1.1180685010560001E-7</v>
      </c>
      <c r="AE21" s="9">
        <f t="shared" si="16"/>
        <v>9.3128771447624128E-3</v>
      </c>
      <c r="AF21" s="9">
        <f t="shared" si="17"/>
        <v>8.8714208235440763E-5</v>
      </c>
      <c r="AG21" s="9">
        <f t="shared" si="18"/>
        <v>8.9156902320586158E-3</v>
      </c>
      <c r="AH21" s="9">
        <f t="shared" si="19"/>
        <v>8.0568798644019505E-3</v>
      </c>
      <c r="AI21" s="9">
        <f t="shared" si="20"/>
        <v>8.4425044758078067E-8</v>
      </c>
      <c r="AJ21" s="9">
        <f t="shared" si="21"/>
        <v>1.1508071827972274E-3</v>
      </c>
      <c r="AK21" s="9">
        <f t="shared" si="22"/>
        <v>1.9290310342786485E-2</v>
      </c>
      <c r="AL21" s="9">
        <f t="shared" si="23"/>
        <v>1.9386571206285448</v>
      </c>
      <c r="AM21" s="9">
        <f t="shared" si="24"/>
        <v>1.7519145587862204</v>
      </c>
      <c r="AN21" s="9">
        <f t="shared" si="25"/>
        <v>1.8357660474913145E-5</v>
      </c>
      <c r="AO21" s="9">
        <f t="shared" si="26"/>
        <v>0.25023531340042782</v>
      </c>
      <c r="AP21" s="9">
        <f t="shared" si="49"/>
        <v>1.9290310342786485E-2</v>
      </c>
      <c r="AQ21" s="9">
        <f t="shared" si="30"/>
        <v>1.9386571206285448</v>
      </c>
      <c r="AR21" s="9">
        <f t="shared" si="50"/>
        <v>1.7519145587862204</v>
      </c>
      <c r="AS21" s="9">
        <f t="shared" si="32"/>
        <v>1.8357660474913145E-5</v>
      </c>
      <c r="AT21" s="9">
        <f t="shared" ref="AT21:AT38" si="55">IF(AO21-(AVERAGE($AO$9:$AO$11))&lt;0,0,AO21-(AVERAGE($AO$9:$AO$11)))</f>
        <v>0.24886476317746778</v>
      </c>
      <c r="AU21">
        <f t="shared" ref="AU21:AU24" si="56">$AU$19+(($AU$25-$AU$19)/($D$25-$D$19))*(D21-$D$19)</f>
        <v>2.2084102969511785E-2</v>
      </c>
      <c r="AV21">
        <f t="shared" ref="AV21:AV24" si="57">$AV$19+(($AV$25-$AV$19)/($D$25-$D$19))*(D21-$D$19)</f>
        <v>3.3234194750800015</v>
      </c>
      <c r="AW21">
        <f t="shared" ref="AW21:AW24" si="58">$AW$19+(($AW$25-$AW$19)/($D$25-$D$19))*(D21-$D$19)</f>
        <v>1.9334635908337994</v>
      </c>
      <c r="AX21">
        <f t="shared" ref="AX21:AX24" si="59">$AX$19+(($AX$25-$AX$19)/($D$25-$D$19))*(D21-$D$19)</f>
        <v>2.5366211092878184E-5</v>
      </c>
      <c r="AY21">
        <f t="shared" ref="AY21:AY24" si="60">$AY$19+(($AY$25-$AY$19)/($D$25-$D$19))*(D21-$D$19)</f>
        <v>0.28365457592435106</v>
      </c>
      <c r="AZ21">
        <f t="shared" si="51"/>
        <v>0.87349304472170453</v>
      </c>
      <c r="BA21">
        <f t="shared" si="52"/>
        <v>0.58333205758863083</v>
      </c>
      <c r="BB21">
        <f t="shared" si="35"/>
        <v>0.90610165461182202</v>
      </c>
      <c r="BC21">
        <f t="shared" si="46"/>
        <v>0.7237052631824562</v>
      </c>
      <c r="BD21">
        <f t="shared" si="37"/>
        <v>0.87735148416515762</v>
      </c>
      <c r="BE21" s="15"/>
      <c r="BF21" s="15"/>
      <c r="BG21" s="10">
        <v>101.99999999999996</v>
      </c>
      <c r="BH21">
        <v>0.94285723608574734</v>
      </c>
      <c r="BI21" s="15"/>
      <c r="BJ21" s="15"/>
      <c r="BK21" s="15"/>
    </row>
    <row r="22" spans="2:63" x14ac:dyDescent="0.25">
      <c r="B22" t="s">
        <v>104</v>
      </c>
      <c r="C22" s="9" t="s">
        <v>117</v>
      </c>
      <c r="D22" s="10">
        <f t="shared" si="38"/>
        <v>184</v>
      </c>
      <c r="E22" s="8">
        <f t="shared" si="53"/>
        <v>0.12777777777777777</v>
      </c>
      <c r="F22" s="8">
        <v>0.65</v>
      </c>
      <c r="G22" s="9">
        <v>10.0731</v>
      </c>
      <c r="H22" s="9">
        <v>19.076499999999999</v>
      </c>
      <c r="I22" s="9">
        <v>15.5067</v>
      </c>
      <c r="J22" s="12">
        <f t="shared" si="47"/>
        <v>3.569799999999999</v>
      </c>
      <c r="K22" s="12">
        <f t="shared" si="48"/>
        <v>5.4336000000000002</v>
      </c>
      <c r="L22" s="1">
        <v>164005</v>
      </c>
      <c r="M22" s="1">
        <v>22009</v>
      </c>
      <c r="N22" s="1">
        <v>50538999</v>
      </c>
      <c r="O22" s="1">
        <v>1194489</v>
      </c>
      <c r="P22" s="1">
        <v>2836649</v>
      </c>
      <c r="Q22" s="9">
        <f t="shared" si="3"/>
        <v>20.895682024223039</v>
      </c>
      <c r="R22" s="9">
        <f t="shared" si="4"/>
        <v>4771.0505502451815</v>
      </c>
      <c r="S22" s="9">
        <f t="shared" si="5"/>
        <v>726.13426879691121</v>
      </c>
      <c r="T22" s="9">
        <f t="shared" si="0"/>
        <v>4.8779560000000001E-3</v>
      </c>
      <c r="U22" s="9">
        <f t="shared" si="6"/>
        <v>541.23493884083371</v>
      </c>
      <c r="V22" s="9">
        <f t="shared" si="7"/>
        <v>2.5870943914190543E-2</v>
      </c>
      <c r="W22" s="9">
        <f t="shared" si="8"/>
        <v>2.9091771647836473</v>
      </c>
      <c r="X22" s="9">
        <f t="shared" si="9"/>
        <v>1.3131412116923342</v>
      </c>
      <c r="Y22" s="9">
        <f t="shared" si="10"/>
        <v>2.9454561714799999E-5</v>
      </c>
      <c r="Z22" s="9">
        <f t="shared" si="11"/>
        <v>0.3555913548184278</v>
      </c>
      <c r="AA22" s="9">
        <f t="shared" si="12"/>
        <v>1.193833001089935E-3</v>
      </c>
      <c r="AB22" s="9">
        <f t="shared" si="13"/>
        <v>7.0611548143628688E-3</v>
      </c>
      <c r="AC22" s="9">
        <f t="shared" si="14"/>
        <v>0.7829506446589255</v>
      </c>
      <c r="AD22" s="9">
        <f t="shared" si="15"/>
        <v>1.7099382080639999E-7</v>
      </c>
      <c r="AE22" s="9">
        <f t="shared" si="16"/>
        <v>1.3022112628510458E-2</v>
      </c>
      <c r="AF22" s="9">
        <f t="shared" si="17"/>
        <v>9.8840906579599649E-5</v>
      </c>
      <c r="AG22" s="9">
        <f t="shared" si="18"/>
        <v>1.0423548133643984E-2</v>
      </c>
      <c r="AH22" s="9">
        <f t="shared" si="19"/>
        <v>8.9418921203180297E-3</v>
      </c>
      <c r="AI22" s="9">
        <f t="shared" si="20"/>
        <v>1.0607600643422666E-7</v>
      </c>
      <c r="AJ22" s="9">
        <f t="shared" si="21"/>
        <v>1.3401469696090974E-3</v>
      </c>
      <c r="AK22" s="9">
        <f t="shared" si="22"/>
        <v>1.8190685103724905E-2</v>
      </c>
      <c r="AL22" s="9">
        <f t="shared" si="23"/>
        <v>1.9183502896135129</v>
      </c>
      <c r="AM22" s="9">
        <f t="shared" si="24"/>
        <v>1.6456662471138892</v>
      </c>
      <c r="AN22" s="9">
        <f t="shared" si="25"/>
        <v>1.952223322184678E-5</v>
      </c>
      <c r="AO22" s="9">
        <f t="shared" si="26"/>
        <v>0.2466407114268804</v>
      </c>
      <c r="AP22" s="9">
        <f t="shared" si="49"/>
        <v>1.8190685103724905E-2</v>
      </c>
      <c r="AQ22" s="9">
        <f t="shared" si="30"/>
        <v>1.9183502896135129</v>
      </c>
      <c r="AR22" s="9">
        <f t="shared" si="50"/>
        <v>1.6456662471138892</v>
      </c>
      <c r="AS22" s="9">
        <f t="shared" si="32"/>
        <v>1.952223322184678E-5</v>
      </c>
      <c r="AT22" s="9">
        <f t="shared" si="55"/>
        <v>0.24527016120392037</v>
      </c>
      <c r="AU22">
        <f t="shared" si="56"/>
        <v>2.1956435045085019E-2</v>
      </c>
      <c r="AV22">
        <f t="shared" si="57"/>
        <v>3.2446574715891159</v>
      </c>
      <c r="AW22">
        <f t="shared" si="58"/>
        <v>1.8925613982083218</v>
      </c>
      <c r="AX22">
        <f t="shared" si="59"/>
        <v>2.4903980383958767E-5</v>
      </c>
      <c r="AY22">
        <f t="shared" si="60"/>
        <v>0.28248795512919961</v>
      </c>
      <c r="AZ22">
        <f t="shared" si="51"/>
        <v>0.82848991953258444</v>
      </c>
      <c r="BA22">
        <f t="shared" si="52"/>
        <v>0.59123352970567167</v>
      </c>
      <c r="BB22">
        <f t="shared" si="35"/>
        <v>0.86954444314030344</v>
      </c>
      <c r="BC22">
        <f t="shared" si="46"/>
        <v>0.78390012041695567</v>
      </c>
      <c r="BD22">
        <f t="shared" si="37"/>
        <v>0.86824997933714665</v>
      </c>
      <c r="BE22" s="15"/>
      <c r="BF22" s="16"/>
      <c r="BG22" s="10">
        <v>121.99999999999989</v>
      </c>
      <c r="BH22">
        <v>0.90035228784571941</v>
      </c>
      <c r="BI22" s="15"/>
      <c r="BJ22" s="15"/>
      <c r="BK22" s="15"/>
    </row>
    <row r="23" spans="2:63" x14ac:dyDescent="0.25">
      <c r="B23" t="s">
        <v>105</v>
      </c>
      <c r="C23" s="12" t="s">
        <v>117</v>
      </c>
      <c r="D23" s="17">
        <f t="shared" si="38"/>
        <v>211.99999999999989</v>
      </c>
      <c r="E23" s="8">
        <f t="shared" si="53"/>
        <v>0.14722222222222214</v>
      </c>
      <c r="F23" s="8">
        <v>0.6694444444444444</v>
      </c>
      <c r="G23" s="9">
        <v>10.0284</v>
      </c>
      <c r="H23" s="9">
        <v>18.928599999999999</v>
      </c>
      <c r="I23" s="9">
        <v>14.8338</v>
      </c>
      <c r="J23" s="12">
        <f t="shared" si="47"/>
        <v>4.0947999999999993</v>
      </c>
      <c r="K23" s="12">
        <f t="shared" si="48"/>
        <v>4.8054000000000006</v>
      </c>
      <c r="L23" s="1">
        <v>133427</v>
      </c>
      <c r="M23" s="1">
        <v>19520</v>
      </c>
      <c r="N23" s="1">
        <v>46153048</v>
      </c>
      <c r="O23" s="1">
        <v>1023352</v>
      </c>
      <c r="P23" s="1">
        <v>2390245</v>
      </c>
      <c r="Q23" s="9">
        <f t="shared" si="3"/>
        <v>17.780912896884008</v>
      </c>
      <c r="R23" s="9">
        <f t="shared" si="4"/>
        <v>4208.6028065893843</v>
      </c>
      <c r="S23" s="9">
        <f t="shared" si="5"/>
        <v>662.94796363793523</v>
      </c>
      <c r="T23" s="9">
        <f t="shared" si="0"/>
        <v>4.1934080000000009E-3</v>
      </c>
      <c r="U23" s="9">
        <f t="shared" si="6"/>
        <v>456.18292497046832</v>
      </c>
      <c r="V23" s="9">
        <f t="shared" si="7"/>
        <v>2.2014548257632088E-2</v>
      </c>
      <c r="W23" s="9">
        <f t="shared" si="8"/>
        <v>2.5662212235301123</v>
      </c>
      <c r="X23" s="9">
        <f t="shared" si="9"/>
        <v>1.1988750974428419</v>
      </c>
      <c r="Y23" s="9">
        <f t="shared" si="10"/>
        <v>2.5321055526400003E-5</v>
      </c>
      <c r="Z23" s="9">
        <f t="shared" si="11"/>
        <v>0.29971218170559771</v>
      </c>
      <c r="AA23" s="9">
        <f t="shared" si="12"/>
        <v>1.0158768965376742E-3</v>
      </c>
      <c r="AB23" s="9">
        <f t="shared" si="13"/>
        <v>6.2287321537522894E-3</v>
      </c>
      <c r="AC23" s="9">
        <f t="shared" si="14"/>
        <v>0.71482032705278553</v>
      </c>
      <c r="AD23" s="9">
        <f t="shared" si="15"/>
        <v>1.4699740139520003E-7</v>
      </c>
      <c r="AE23" s="9">
        <f t="shared" si="16"/>
        <v>1.0975761174789468E-2</v>
      </c>
      <c r="AF23" s="9">
        <f t="shared" si="17"/>
        <v>9.5026867043973993E-5</v>
      </c>
      <c r="AG23" s="9">
        <f t="shared" si="18"/>
        <v>1.0538094215602745E-2</v>
      </c>
      <c r="AH23" s="9">
        <f t="shared" si="19"/>
        <v>8.344151348628405E-3</v>
      </c>
      <c r="AI23" s="9">
        <f t="shared" si="20"/>
        <v>1.0439103948216721E-7</v>
      </c>
      <c r="AJ23" s="9">
        <f t="shared" si="21"/>
        <v>1.2800043643974145E-3</v>
      </c>
      <c r="AK23" s="9">
        <f t="shared" si="22"/>
        <v>1.9775017073287132E-2</v>
      </c>
      <c r="AL23" s="9">
        <f t="shared" si="23"/>
        <v>2.1929692045621061</v>
      </c>
      <c r="AM23" s="9">
        <f t="shared" si="24"/>
        <v>1.7364114014709293</v>
      </c>
      <c r="AN23" s="9">
        <f t="shared" si="25"/>
        <v>2.1723694069623174E-5</v>
      </c>
      <c r="AO23" s="9">
        <f t="shared" si="26"/>
        <v>0.26636791201511101</v>
      </c>
      <c r="AP23" s="9">
        <f t="shared" si="49"/>
        <v>1.9775017073287132E-2</v>
      </c>
      <c r="AQ23" s="9">
        <f t="shared" si="30"/>
        <v>2.1929692045621061</v>
      </c>
      <c r="AR23" s="9">
        <f t="shared" si="50"/>
        <v>1.7364114014709293</v>
      </c>
      <c r="AS23" s="9">
        <f t="shared" si="32"/>
        <v>2.1723694069623174E-5</v>
      </c>
      <c r="AT23" s="9">
        <f t="shared" si="55"/>
        <v>0.264997361792151</v>
      </c>
      <c r="AU23">
        <f t="shared" si="56"/>
        <v>2.1801013224043743E-2</v>
      </c>
      <c r="AV23">
        <f t="shared" si="57"/>
        <v>3.1487732934262995</v>
      </c>
      <c r="AW23">
        <f t="shared" si="58"/>
        <v>1.8427674245773058</v>
      </c>
      <c r="AX23">
        <f t="shared" si="59"/>
        <v>2.4341264738317744E-5</v>
      </c>
      <c r="AY23">
        <f t="shared" si="60"/>
        <v>0.28106772111771094</v>
      </c>
      <c r="AZ23" s="15">
        <f t="shared" si="51"/>
        <v>0.90706871603003314</v>
      </c>
      <c r="BA23" s="15">
        <f t="shared" si="52"/>
        <v>0.69645191959051878</v>
      </c>
      <c r="BB23" s="15">
        <f t="shared" si="35"/>
        <v>0.94228461948703457</v>
      </c>
      <c r="BC23" s="15">
        <f t="shared" si="46"/>
        <v>0.89246365392945182</v>
      </c>
      <c r="BD23" s="15">
        <f t="shared" si="37"/>
        <v>0.94282388862849997</v>
      </c>
      <c r="BE23" s="15"/>
      <c r="BF23" s="15"/>
      <c r="BG23" s="17">
        <v>141.99999999999997</v>
      </c>
      <c r="BH23">
        <v>0.89312935977946672</v>
      </c>
      <c r="BI23" s="15"/>
      <c r="BJ23" s="15"/>
      <c r="BK23" s="15"/>
    </row>
    <row r="24" spans="2:63" x14ac:dyDescent="0.25">
      <c r="B24" t="s">
        <v>106</v>
      </c>
      <c r="C24" s="9" t="s">
        <v>117</v>
      </c>
      <c r="D24" s="10">
        <f t="shared" si="38"/>
        <v>240.99999999999994</v>
      </c>
      <c r="E24" s="8">
        <f t="shared" si="53"/>
        <v>0.16736111111111107</v>
      </c>
      <c r="F24" s="8">
        <v>0.68958333333333333</v>
      </c>
      <c r="G24" s="9">
        <v>9.9238999999999997</v>
      </c>
      <c r="H24" s="9">
        <v>18.938199999999998</v>
      </c>
      <c r="I24" s="9">
        <v>15.132099999999999</v>
      </c>
      <c r="J24" s="12">
        <f t="shared" si="47"/>
        <v>3.8060999999999989</v>
      </c>
      <c r="K24" s="12">
        <f t="shared" si="48"/>
        <v>5.2081999999999997</v>
      </c>
      <c r="L24" s="1">
        <v>156367</v>
      </c>
      <c r="M24" s="1">
        <v>22000</v>
      </c>
      <c r="N24" s="1">
        <v>50326587</v>
      </c>
      <c r="O24" s="1">
        <v>1090670</v>
      </c>
      <c r="P24" s="1">
        <v>2756556</v>
      </c>
      <c r="Q24" s="9">
        <f t="shared" si="3"/>
        <v>20.117651852380028</v>
      </c>
      <c r="R24" s="9">
        <f t="shared" si="4"/>
        <v>4769.0167898221589</v>
      </c>
      <c r="S24" s="9">
        <f t="shared" si="5"/>
        <v>723.07415037528995</v>
      </c>
      <c r="T24" s="9">
        <f t="shared" si="0"/>
        <v>4.4626800000000001E-3</v>
      </c>
      <c r="U24" s="9">
        <f t="shared" si="6"/>
        <v>525.97506001600425</v>
      </c>
      <c r="V24" s="9">
        <f t="shared" si="7"/>
        <v>2.4907664758431713E-2</v>
      </c>
      <c r="W24" s="9">
        <f t="shared" si="8"/>
        <v>2.9079370669647306</v>
      </c>
      <c r="X24" s="9">
        <f t="shared" si="9"/>
        <v>1.3076072935386744</v>
      </c>
      <c r="Y24" s="9">
        <f t="shared" si="10"/>
        <v>2.6947000643999998E-5</v>
      </c>
      <c r="Z24" s="9">
        <f t="shared" si="11"/>
        <v>0.34556561443051481</v>
      </c>
      <c r="AA24" s="9">
        <f t="shared" si="12"/>
        <v>1.149381803282028E-3</v>
      </c>
      <c r="AB24" s="9">
        <f t="shared" si="13"/>
        <v>7.0581448489367947E-3</v>
      </c>
      <c r="AC24" s="9">
        <f t="shared" si="14"/>
        <v>0.77965108727140442</v>
      </c>
      <c r="AD24" s="9">
        <f t="shared" si="15"/>
        <v>1.5643656979199998E-7</v>
      </c>
      <c r="AE24" s="9">
        <f t="shared" si="16"/>
        <v>1.2654959943985062E-2</v>
      </c>
      <c r="AF24" s="9">
        <f t="shared" si="17"/>
        <v>1.0078727314492037E-4</v>
      </c>
      <c r="AG24" s="9">
        <f t="shared" si="18"/>
        <v>1.1104659500576691E-2</v>
      </c>
      <c r="AH24" s="9">
        <f t="shared" si="19"/>
        <v>9.0374629126644748E-3</v>
      </c>
      <c r="AI24" s="9">
        <f t="shared" si="20"/>
        <v>1.0337773209391906E-7</v>
      </c>
      <c r="AJ24" s="9">
        <f t="shared" si="21"/>
        <v>1.3811668474642451E-3</v>
      </c>
      <c r="AK24" s="9">
        <f t="shared" si="22"/>
        <v>1.9351651846111973E-2</v>
      </c>
      <c r="AL24" s="9">
        <f t="shared" si="23"/>
        <v>2.1321492071304271</v>
      </c>
      <c r="AM24" s="9">
        <f t="shared" si="24"/>
        <v>1.7352373013064928</v>
      </c>
      <c r="AN24" s="9">
        <f t="shared" si="25"/>
        <v>1.9849032697269509E-5</v>
      </c>
      <c r="AO24" s="9">
        <f t="shared" si="26"/>
        <v>0.26519082359821922</v>
      </c>
      <c r="AP24" s="9">
        <f t="shared" si="49"/>
        <v>1.9351651846111973E-2</v>
      </c>
      <c r="AQ24" s="9">
        <f t="shared" si="30"/>
        <v>2.1321492071304271</v>
      </c>
      <c r="AR24" s="9">
        <f t="shared" si="50"/>
        <v>1.7352373013064928</v>
      </c>
      <c r="AS24" s="9">
        <f t="shared" si="32"/>
        <v>1.9849032697269509E-5</v>
      </c>
      <c r="AT24" s="9">
        <f t="shared" si="55"/>
        <v>0.26382027337525921</v>
      </c>
      <c r="AU24">
        <f t="shared" si="56"/>
        <v>2.1640040623679562E-2</v>
      </c>
      <c r="AV24">
        <f t="shared" si="57"/>
        <v>3.0494646803290966</v>
      </c>
      <c r="AW24">
        <f t="shared" si="58"/>
        <v>1.791195094745182</v>
      </c>
      <c r="AX24">
        <f t="shared" si="59"/>
        <v>2.3758452105332391E-5</v>
      </c>
      <c r="AY24">
        <f t="shared" si="60"/>
        <v>0.27959676446295478</v>
      </c>
      <c r="AZ24">
        <f t="shared" si="51"/>
        <v>0.89425210343350625</v>
      </c>
      <c r="BA24">
        <f t="shared" si="52"/>
        <v>0.69918803155323861</v>
      </c>
      <c r="BB24">
        <f t="shared" si="35"/>
        <v>0.96875952061120962</v>
      </c>
      <c r="BC24">
        <f t="shared" si="46"/>
        <v>0.83545142626587854</v>
      </c>
      <c r="BD24">
        <f t="shared" si="37"/>
        <v>0.94357412855617684</v>
      </c>
      <c r="BE24" s="15"/>
      <c r="BF24" s="16"/>
      <c r="BG24" s="17">
        <v>160.99999999999991</v>
      </c>
      <c r="BH24">
        <v>0.99525441522841218</v>
      </c>
      <c r="BI24" s="15"/>
      <c r="BJ24" s="15"/>
      <c r="BK24" s="15"/>
    </row>
    <row r="25" spans="2:63" s="4" customFormat="1" x14ac:dyDescent="0.25">
      <c r="B25" s="4" t="s">
        <v>107</v>
      </c>
      <c r="C25" s="5" t="s">
        <v>44</v>
      </c>
      <c r="D25" s="6">
        <f t="shared" si="38"/>
        <v>242.99999999999994</v>
      </c>
      <c r="E25" s="7">
        <f t="shared" si="53"/>
        <v>0.16874999999999996</v>
      </c>
      <c r="F25" s="7">
        <v>0.69097222222222221</v>
      </c>
      <c r="G25" s="5">
        <v>9.8720999999999997</v>
      </c>
      <c r="H25" s="5">
        <v>19.014600000000002</v>
      </c>
      <c r="I25" s="5">
        <v>14.608499999999999</v>
      </c>
      <c r="J25" s="5">
        <f t="shared" si="47"/>
        <v>4.4061000000000021</v>
      </c>
      <c r="K25" s="5">
        <f t="shared" si="48"/>
        <v>4.7363999999999997</v>
      </c>
      <c r="L25" s="14">
        <v>134513</v>
      </c>
      <c r="M25" s="14">
        <v>24571</v>
      </c>
      <c r="N25" s="14">
        <v>45085610</v>
      </c>
      <c r="O25" s="14">
        <v>1024060</v>
      </c>
      <c r="P25" s="14">
        <v>2316535</v>
      </c>
      <c r="Q25" s="5">
        <f t="shared" si="3"/>
        <v>17.891536197043933</v>
      </c>
      <c r="R25" s="5">
        <f t="shared" si="4"/>
        <v>5349.9943506654918</v>
      </c>
      <c r="S25" s="5">
        <f t="shared" si="5"/>
        <v>647.56989324766255</v>
      </c>
      <c r="T25" s="5">
        <f t="shared" si="0"/>
        <v>4.1962400000000004E-3</v>
      </c>
      <c r="U25" s="5">
        <f t="shared" si="6"/>
        <v>442.13917997180204</v>
      </c>
      <c r="V25" s="5">
        <f t="shared" si="7"/>
        <v>2.2151510965560093E-2</v>
      </c>
      <c r="W25" s="5">
        <f t="shared" si="8"/>
        <v>3.2621916772350561</v>
      </c>
      <c r="X25" s="5">
        <f t="shared" si="9"/>
        <v>1.171065394949073</v>
      </c>
      <c r="Y25" s="5">
        <f t="shared" si="10"/>
        <v>2.5338155991999998E-5</v>
      </c>
      <c r="Z25" s="5">
        <f t="shared" si="11"/>
        <v>0.29048544124147396</v>
      </c>
      <c r="AA25" s="5">
        <f t="shared" si="12"/>
        <v>1.0221971375457112E-3</v>
      </c>
      <c r="AB25" s="5">
        <f t="shared" si="13"/>
        <v>7.9179916389849284E-3</v>
      </c>
      <c r="AC25" s="5">
        <f t="shared" si="14"/>
        <v>0.69823899954482582</v>
      </c>
      <c r="AD25" s="5">
        <f t="shared" si="15"/>
        <v>1.47096675456E-7</v>
      </c>
      <c r="AE25" s="5">
        <f t="shared" si="16"/>
        <v>1.0637868670121557E-2</v>
      </c>
      <c r="AF25" s="5">
        <f t="shared" si="17"/>
        <v>1.0244330698762587E-4</v>
      </c>
      <c r="AG25" s="5">
        <f t="shared" si="18"/>
        <v>1.4411045524664276E-2</v>
      </c>
      <c r="AH25" s="5">
        <f t="shared" si="19"/>
        <v>8.4669704341292264E-3</v>
      </c>
      <c r="AI25" s="5">
        <f t="shared" si="20"/>
        <v>1.1233915780998104E-7</v>
      </c>
      <c r="AJ25" s="5">
        <f t="shared" si="21"/>
        <v>1.3302931038232228E-3</v>
      </c>
      <c r="AK25" s="5">
        <f t="shared" si="22"/>
        <v>2.1628939065033756E-2</v>
      </c>
      <c r="AL25" s="5">
        <f t="shared" si="23"/>
        <v>3.0426158104603238</v>
      </c>
      <c r="AM25" s="5">
        <f t="shared" si="24"/>
        <v>1.7876383823429665</v>
      </c>
      <c r="AN25" s="5">
        <f t="shared" si="25"/>
        <v>2.3718258130643748E-5</v>
      </c>
      <c r="AO25" s="5">
        <f t="shared" si="26"/>
        <v>0.28086586939937991</v>
      </c>
      <c r="AP25" s="5">
        <f t="shared" si="49"/>
        <v>2.1628939065033756E-2</v>
      </c>
      <c r="AQ25" s="5">
        <f t="shared" si="30"/>
        <v>3.0426158104603238</v>
      </c>
      <c r="AR25" s="5">
        <f t="shared" si="50"/>
        <v>1.7876383823429665</v>
      </c>
      <c r="AS25" s="5">
        <f t="shared" si="32"/>
        <v>2.3718258130643748E-5</v>
      </c>
      <c r="AT25" s="5">
        <f t="shared" si="55"/>
        <v>0.2794953191764199</v>
      </c>
      <c r="AU25" s="4">
        <f>AP25</f>
        <v>2.1628939065033756E-2</v>
      </c>
      <c r="AV25" s="4">
        <f t="shared" ref="AV25:AY25" si="61">AQ25</f>
        <v>3.0426158104603238</v>
      </c>
      <c r="AW25" s="4">
        <f t="shared" si="61"/>
        <v>1.7876383823429665</v>
      </c>
      <c r="AX25" s="4">
        <f t="shared" si="61"/>
        <v>2.3718258130643748E-5</v>
      </c>
      <c r="AY25" s="4">
        <f t="shared" si="61"/>
        <v>0.2794953191764199</v>
      </c>
      <c r="AZ25" s="4">
        <f t="shared" si="51"/>
        <v>1</v>
      </c>
      <c r="BA25" s="4">
        <f t="shared" si="52"/>
        <v>1</v>
      </c>
      <c r="BB25" s="4">
        <f t="shared" si="35"/>
        <v>1</v>
      </c>
      <c r="BC25" s="4">
        <f t="shared" si="46"/>
        <v>1</v>
      </c>
      <c r="BD25" s="4">
        <f t="shared" si="37"/>
        <v>1</v>
      </c>
      <c r="BE25" s="15"/>
      <c r="BF25" s="15"/>
      <c r="BG25" s="17">
        <v>184</v>
      </c>
      <c r="BH25">
        <v>0.94863353929094585</v>
      </c>
      <c r="BI25" s="15"/>
      <c r="BJ25" s="15"/>
      <c r="BK25" s="15"/>
    </row>
    <row r="26" spans="2:63" s="15" customFormat="1" x14ac:dyDescent="0.25">
      <c r="B26" s="15" t="s">
        <v>108</v>
      </c>
      <c r="C26" s="16" t="s">
        <v>117</v>
      </c>
      <c r="D26" s="17">
        <f t="shared" si="38"/>
        <v>270</v>
      </c>
      <c r="E26" s="18">
        <f t="shared" si="53"/>
        <v>0.1875</v>
      </c>
      <c r="F26" s="18">
        <v>0.70972222222222225</v>
      </c>
      <c r="G26" s="16">
        <v>9.9146000000000001</v>
      </c>
      <c r="H26" s="16">
        <v>18.974499999999999</v>
      </c>
      <c r="I26" s="16">
        <v>15.000299999999999</v>
      </c>
      <c r="J26" s="12">
        <f t="shared" si="47"/>
        <v>3.9741999999999997</v>
      </c>
      <c r="K26" s="12">
        <f t="shared" si="48"/>
        <v>5.0856999999999992</v>
      </c>
      <c r="L26" s="1">
        <v>144973</v>
      </c>
      <c r="M26" s="1">
        <v>20695</v>
      </c>
      <c r="N26" s="1">
        <v>47279216</v>
      </c>
      <c r="O26" s="1">
        <v>1067378</v>
      </c>
      <c r="P26" s="1">
        <v>2620788</v>
      </c>
      <c r="Q26" s="16">
        <f t="shared" si="3"/>
        <v>18.957023968381701</v>
      </c>
      <c r="R26" s="16">
        <f t="shared" si="4"/>
        <v>4474.1215284839445</v>
      </c>
      <c r="S26" s="16">
        <f t="shared" si="5"/>
        <v>679.17212914007462</v>
      </c>
      <c r="T26" s="16">
        <f t="shared" si="0"/>
        <v>4.3695120000000007E-3</v>
      </c>
      <c r="U26" s="16">
        <f t="shared" si="6"/>
        <v>500.1075905955874</v>
      </c>
      <c r="V26" s="16">
        <f t="shared" si="7"/>
        <v>2.3470691375253382E-2</v>
      </c>
      <c r="W26" s="16">
        <f t="shared" si="8"/>
        <v>2.7281228832219173</v>
      </c>
      <c r="X26" s="16">
        <f t="shared" si="9"/>
        <v>1.2282148783369109</v>
      </c>
      <c r="Y26" s="16">
        <f t="shared" si="10"/>
        <v>2.6384424309600002E-5</v>
      </c>
      <c r="Z26" s="16">
        <f t="shared" si="11"/>
        <v>0.32857068702130099</v>
      </c>
      <c r="AA26" s="16">
        <f t="shared" si="12"/>
        <v>1.0830716503855517E-3</v>
      </c>
      <c r="AB26" s="16">
        <f t="shared" si="13"/>
        <v>6.621699862156237E-3</v>
      </c>
      <c r="AC26" s="16">
        <f t="shared" si="14"/>
        <v>0.7323139523846397</v>
      </c>
      <c r="AD26" s="16">
        <f t="shared" si="15"/>
        <v>1.5317062145280001E-7</v>
      </c>
      <c r="AE26" s="16">
        <f t="shared" si="16"/>
        <v>1.2032588629729831E-2</v>
      </c>
      <c r="AF26" s="16">
        <f t="shared" si="17"/>
        <v>9.8785399155897798E-5</v>
      </c>
      <c r="AG26" s="16">
        <f t="shared" si="18"/>
        <v>1.0875781941489512E-2</v>
      </c>
      <c r="AH26" s="16">
        <f t="shared" si="19"/>
        <v>8.6055006371291137E-3</v>
      </c>
      <c r="AI26" s="16">
        <f t="shared" si="20"/>
        <v>1.0563595892073482E-7</v>
      </c>
      <c r="AJ26" s="16">
        <f t="shared" si="21"/>
        <v>1.3669997603542713E-3</v>
      </c>
      <c r="AK26" s="16">
        <f t="shared" si="22"/>
        <v>1.9424149901861653E-2</v>
      </c>
      <c r="AL26" s="16">
        <f t="shared" si="23"/>
        <v>2.1385024561986579</v>
      </c>
      <c r="AM26" s="16">
        <f t="shared" si="24"/>
        <v>1.6920975749904861</v>
      </c>
      <c r="AN26" s="16">
        <f t="shared" si="25"/>
        <v>2.0771173864116018E-5</v>
      </c>
      <c r="AO26" s="16">
        <f t="shared" si="26"/>
        <v>0.2687928427461847</v>
      </c>
      <c r="AP26" s="16">
        <f t="shared" si="49"/>
        <v>1.9424149901861653E-2</v>
      </c>
      <c r="AQ26" s="16">
        <f t="shared" si="30"/>
        <v>2.1385024561986579</v>
      </c>
      <c r="AR26" s="16">
        <f t="shared" si="50"/>
        <v>1.6920975749904861</v>
      </c>
      <c r="AS26" s="16">
        <f t="shared" si="32"/>
        <v>2.0771173864116018E-5</v>
      </c>
      <c r="AT26" s="16">
        <f t="shared" si="55"/>
        <v>0.26742229252322469</v>
      </c>
      <c r="AU26">
        <f>$AU$25+(($AU$30-$AU$25)/($D$30-$D$25))*(D26-$D$25)</f>
        <v>2.1880230318792861E-2</v>
      </c>
      <c r="AV26">
        <f>$AV$25+(($AV$30-$AV$25)/($D$30-$D$25))*(D26-$D$25)</f>
        <v>3.0207465220311618</v>
      </c>
      <c r="AW26">
        <f>$AW$25+(($AW$30-$AW$25)/($D$30-$D$25))*(D26-$D$25)</f>
        <v>1.7986336284112714</v>
      </c>
      <c r="AX26">
        <f>$AX$25+(($AX$30-$AX$25)/($D$30-$D$25))*(D26-$D$25)</f>
        <v>2.424660797532937E-5</v>
      </c>
      <c r="AY26">
        <f>$AY$25+(($AY$30-$AY$25)/($D$30-$D$25))*(D26-$D$25)</f>
        <v>0.28061971971865346</v>
      </c>
      <c r="AZ26" s="15">
        <f t="shared" si="51"/>
        <v>0.88774887735885999</v>
      </c>
      <c r="BA26" s="15">
        <f t="shared" si="52"/>
        <v>0.70793839886993248</v>
      </c>
      <c r="BB26" s="15">
        <f t="shared" si="35"/>
        <v>0.9407683411796941</v>
      </c>
      <c r="BC26" s="15">
        <f t="shared" si="46"/>
        <v>0.85666307985225953</v>
      </c>
      <c r="BD26" s="15">
        <f t="shared" si="37"/>
        <v>0.95297042129234399</v>
      </c>
      <c r="BF26" s="16"/>
      <c r="BG26" s="17">
        <v>211.99999999999989</v>
      </c>
      <c r="BH26">
        <v>0.97504691330832594</v>
      </c>
    </row>
    <row r="27" spans="2:63" x14ac:dyDescent="0.25">
      <c r="B27" t="s">
        <v>109</v>
      </c>
      <c r="C27" s="9" t="s">
        <v>117</v>
      </c>
      <c r="D27" s="10">
        <f t="shared" si="38"/>
        <v>302.99999999999989</v>
      </c>
      <c r="E27" s="8">
        <f t="shared" si="53"/>
        <v>0.21041666666666659</v>
      </c>
      <c r="F27" s="8">
        <v>0.73263888888888884</v>
      </c>
      <c r="G27" s="9">
        <v>9.9936000000000007</v>
      </c>
      <c r="H27" s="9">
        <v>19.027999999999999</v>
      </c>
      <c r="I27" s="9">
        <v>14.663500000000001</v>
      </c>
      <c r="J27" s="12">
        <f t="shared" si="47"/>
        <v>4.3644999999999978</v>
      </c>
      <c r="K27" s="12">
        <f t="shared" si="48"/>
        <v>4.6699000000000002</v>
      </c>
      <c r="L27" s="1">
        <v>131417</v>
      </c>
      <c r="M27" s="1">
        <v>18909</v>
      </c>
      <c r="N27" s="1">
        <v>43709850</v>
      </c>
      <c r="O27" s="1">
        <v>1009389</v>
      </c>
      <c r="P27" s="1">
        <v>2284836</v>
      </c>
      <c r="Q27" s="9">
        <f t="shared" si="3"/>
        <v>17.576168114820057</v>
      </c>
      <c r="R27" s="9">
        <f t="shared" si="4"/>
        <v>4070.5330712042123</v>
      </c>
      <c r="S27" s="9">
        <f t="shared" si="5"/>
        <v>627.74997478858427</v>
      </c>
      <c r="T27" s="9">
        <f t="shared" si="0"/>
        <v>4.1375560000000006E-3</v>
      </c>
      <c r="U27" s="9">
        <f t="shared" si="6"/>
        <v>436.0996646724841</v>
      </c>
      <c r="V27" s="9">
        <f t="shared" si="7"/>
        <v>2.1761053742958711E-2</v>
      </c>
      <c r="W27" s="9">
        <f t="shared" si="8"/>
        <v>2.4820323604903733</v>
      </c>
      <c r="X27" s="9">
        <f t="shared" si="9"/>
        <v>1.1352230544076758</v>
      </c>
      <c r="Y27" s="9">
        <f t="shared" si="10"/>
        <v>2.4983804394800001E-5</v>
      </c>
      <c r="Z27" s="9">
        <f t="shared" si="11"/>
        <v>0.28651747968982211</v>
      </c>
      <c r="AA27" s="9">
        <f t="shared" si="12"/>
        <v>1.0041792129040143E-3</v>
      </c>
      <c r="AB27" s="9">
        <f t="shared" si="13"/>
        <v>6.0243889453822337E-3</v>
      </c>
      <c r="AC27" s="9">
        <f t="shared" si="14"/>
        <v>0.67686827156591711</v>
      </c>
      <c r="AD27" s="9">
        <f t="shared" si="15"/>
        <v>1.4503954304640003E-7</v>
      </c>
      <c r="AE27" s="9">
        <f t="shared" si="16"/>
        <v>1.0492557932019968E-2</v>
      </c>
      <c r="AF27" s="9">
        <f t="shared" si="17"/>
        <v>9.9665535567483688E-5</v>
      </c>
      <c r="AG27" s="9">
        <f t="shared" si="18"/>
        <v>1.0860963531296269E-2</v>
      </c>
      <c r="AH27" s="9">
        <f t="shared" si="19"/>
        <v>8.1155881623479753E-3</v>
      </c>
      <c r="AI27" s="9">
        <f t="shared" si="20"/>
        <v>1.0971913444317693E-7</v>
      </c>
      <c r="AJ27" s="9">
        <f t="shared" si="21"/>
        <v>1.299504736392968E-3</v>
      </c>
      <c r="AK27" s="9">
        <f t="shared" si="22"/>
        <v>2.1342113443003852E-2</v>
      </c>
      <c r="AL27" s="9">
        <f t="shared" si="23"/>
        <v>2.3257379240018565</v>
      </c>
      <c r="AM27" s="9">
        <f t="shared" si="24"/>
        <v>1.7378505240686042</v>
      </c>
      <c r="AN27" s="9">
        <f t="shared" si="25"/>
        <v>2.3494964441032338E-5</v>
      </c>
      <c r="AO27" s="9">
        <f t="shared" si="26"/>
        <v>0.27827249756803529</v>
      </c>
      <c r="AP27" s="9">
        <f t="shared" si="49"/>
        <v>2.1342113443003852E-2</v>
      </c>
      <c r="AQ27" s="9">
        <f t="shared" si="30"/>
        <v>2.3257379240018565</v>
      </c>
      <c r="AR27" s="9">
        <f t="shared" si="50"/>
        <v>1.7378505240686042</v>
      </c>
      <c r="AS27" s="9">
        <f t="shared" si="32"/>
        <v>2.3494964441032338E-5</v>
      </c>
      <c r="AT27" s="9">
        <f t="shared" si="55"/>
        <v>0.27690194734507528</v>
      </c>
      <c r="AU27">
        <f t="shared" ref="AU27:AU29" si="62">$AU$25+(($AU$30-$AU$25)/($D$30-$D$25))*(D27-$D$25)</f>
        <v>2.2187364073387322E-2</v>
      </c>
      <c r="AV27">
        <f t="shared" ref="AV27:AV29" si="63">$AV$25+(($AV$30-$AV$25)/($D$30-$D$25))*(D27-$D$25)</f>
        <v>2.9940173917288528</v>
      </c>
      <c r="AW27">
        <f t="shared" ref="AW27:AW29" si="64">$AW$25+(($AW$30-$AW$25)/($D$30-$D$25))*(D27-$D$25)</f>
        <v>1.8120722624947552</v>
      </c>
      <c r="AX27">
        <f t="shared" ref="AX27:AX29" si="65">$AX$25+(($AX$30-$AX$25)/($D$30-$D$25))*(D27-$D$25)</f>
        <v>2.489236889661179E-5</v>
      </c>
      <c r="AY27">
        <f t="shared" ref="AY27:AY29" si="66">$AY$25+(($AY$30-$AY$25)/($D$30-$D$25))*(D27-$D$25)</f>
        <v>0.28199398704805007</v>
      </c>
      <c r="AZ27">
        <f t="shared" si="51"/>
        <v>0.96190396355386321</v>
      </c>
      <c r="BA27">
        <f t="shared" si="52"/>
        <v>0.77679506152063205</v>
      </c>
      <c r="BB27">
        <f t="shared" si="35"/>
        <v>0.95904040917001465</v>
      </c>
      <c r="BC27">
        <f t="shared" si="46"/>
        <v>0.94386213456085899</v>
      </c>
      <c r="BD27">
        <f t="shared" si="37"/>
        <v>0.98194273659421283</v>
      </c>
      <c r="BE27" s="15"/>
      <c r="BF27" s="16"/>
      <c r="BG27" s="17">
        <v>240.99999999999994</v>
      </c>
      <c r="BH27">
        <v>0.9598896812947505</v>
      </c>
      <c r="BI27" s="15"/>
      <c r="BJ27" s="15"/>
      <c r="BK27" s="15"/>
    </row>
    <row r="28" spans="2:63" x14ac:dyDescent="0.25">
      <c r="B28" t="s">
        <v>110</v>
      </c>
      <c r="C28" s="9" t="s">
        <v>117</v>
      </c>
      <c r="D28" s="10">
        <f t="shared" si="38"/>
        <v>331.99999999999994</v>
      </c>
      <c r="E28" s="8">
        <f t="shared" si="53"/>
        <v>0.23055555555555551</v>
      </c>
      <c r="F28" s="8">
        <v>0.75277777777777777</v>
      </c>
      <c r="G28" s="9">
        <v>10.1061</v>
      </c>
      <c r="H28" s="9">
        <v>19.051500000000001</v>
      </c>
      <c r="I28" s="9">
        <v>14.5053</v>
      </c>
      <c r="J28" s="12">
        <f t="shared" si="47"/>
        <v>4.5462000000000007</v>
      </c>
      <c r="K28" s="12">
        <f t="shared" si="48"/>
        <v>4.3992000000000004</v>
      </c>
      <c r="L28" s="1">
        <v>121242</v>
      </c>
      <c r="M28" s="1">
        <v>18103</v>
      </c>
      <c r="N28" s="1">
        <v>41292390</v>
      </c>
      <c r="O28" s="1">
        <v>907784</v>
      </c>
      <c r="P28" s="1">
        <v>2112991</v>
      </c>
      <c r="Q28" s="9">
        <f t="shared" si="3"/>
        <v>16.539711320043597</v>
      </c>
      <c r="R28" s="9">
        <f t="shared" si="4"/>
        <v>3888.3985266535606</v>
      </c>
      <c r="S28" s="9">
        <f t="shared" si="5"/>
        <v>592.9227810352528</v>
      </c>
      <c r="T28" s="9">
        <f t="shared" si="0"/>
        <v>3.7311359999999999E-3</v>
      </c>
      <c r="U28" s="9">
        <f t="shared" si="6"/>
        <v>403.35855275692569</v>
      </c>
      <c r="V28" s="9">
        <f t="shared" si="7"/>
        <v>2.0477816585345979E-2</v>
      </c>
      <c r="W28" s="9">
        <f t="shared" si="8"/>
        <v>2.3709747113741222</v>
      </c>
      <c r="X28" s="9">
        <f t="shared" si="9"/>
        <v>1.072241557224151</v>
      </c>
      <c r="Y28" s="9">
        <f t="shared" si="10"/>
        <v>2.2529718508799997E-5</v>
      </c>
      <c r="Z28" s="9">
        <f t="shared" si="11"/>
        <v>0.26500656916130017</v>
      </c>
      <c r="AA28" s="9">
        <f t="shared" si="12"/>
        <v>9.4496332684805074E-4</v>
      </c>
      <c r="AB28" s="9">
        <f t="shared" si="13"/>
        <v>5.7548298194472691E-3</v>
      </c>
      <c r="AC28" s="9">
        <f t="shared" si="14"/>
        <v>0.6393160240373561</v>
      </c>
      <c r="AD28" s="9">
        <f t="shared" si="15"/>
        <v>1.307927337984E-7</v>
      </c>
      <c r="AE28" s="9">
        <f t="shared" si="16"/>
        <v>9.7048067793316321E-3</v>
      </c>
      <c r="AF28" s="9">
        <f t="shared" si="17"/>
        <v>9.7253332427769867E-5</v>
      </c>
      <c r="AG28" s="9">
        <f t="shared" si="18"/>
        <v>1.0804241880190748E-2</v>
      </c>
      <c r="AH28" s="9">
        <f t="shared" si="19"/>
        <v>7.6871036203975734E-3</v>
      </c>
      <c r="AI28" s="9">
        <f t="shared" si="20"/>
        <v>1.029999896792325E-7</v>
      </c>
      <c r="AJ28" s="9">
        <f t="shared" si="21"/>
        <v>1.2474662507047387E-3</v>
      </c>
      <c r="AK28" s="9">
        <f t="shared" si="22"/>
        <v>2.2107049560776929E-2</v>
      </c>
      <c r="AL28" s="9">
        <f t="shared" si="23"/>
        <v>2.4559560556898403</v>
      </c>
      <c r="AM28" s="9">
        <f t="shared" si="24"/>
        <v>1.7473867113105959</v>
      </c>
      <c r="AN28" s="9">
        <f t="shared" si="25"/>
        <v>2.3413345535377452E-5</v>
      </c>
      <c r="AO28" s="9">
        <f t="shared" si="26"/>
        <v>0.28356661454463056</v>
      </c>
      <c r="AP28" s="9">
        <f t="shared" si="49"/>
        <v>2.2107049560776929E-2</v>
      </c>
      <c r="AQ28" s="9">
        <f t="shared" si="30"/>
        <v>2.4559560556898403</v>
      </c>
      <c r="AR28" s="9">
        <f t="shared" si="50"/>
        <v>1.7473867113105959</v>
      </c>
      <c r="AS28" s="9">
        <f t="shared" si="32"/>
        <v>2.3413345535377452E-5</v>
      </c>
      <c r="AT28" s="9">
        <f t="shared" si="55"/>
        <v>0.28219606432167055</v>
      </c>
      <c r="AU28">
        <f t="shared" si="62"/>
        <v>2.2457269494091547E-2</v>
      </c>
      <c r="AV28">
        <f t="shared" si="63"/>
        <v>2.9705281560086418</v>
      </c>
      <c r="AW28">
        <f t="shared" si="64"/>
        <v>1.8238819712347865</v>
      </c>
      <c r="AX28">
        <f t="shared" si="65"/>
        <v>2.5459855766829681E-5</v>
      </c>
      <c r="AY28">
        <f t="shared" si="66"/>
        <v>0.28320167651933797</v>
      </c>
      <c r="AZ28">
        <f t="shared" si="51"/>
        <v>0.98440505274219736</v>
      </c>
      <c r="BA28">
        <f t="shared" si="52"/>
        <v>0.82677420536211721</v>
      </c>
      <c r="BB28">
        <f t="shared" si="35"/>
        <v>0.95805909530845212</v>
      </c>
      <c r="BC28">
        <f t="shared" si="46"/>
        <v>0.91961815297797089</v>
      </c>
      <c r="BD28">
        <f t="shared" si="37"/>
        <v>0.99644913049235162</v>
      </c>
      <c r="BE28" s="15"/>
      <c r="BF28" s="16"/>
      <c r="BG28" s="17">
        <v>270</v>
      </c>
      <c r="BH28">
        <v>1.0205137252901715</v>
      </c>
      <c r="BI28" s="15"/>
      <c r="BJ28" s="15"/>
      <c r="BK28" s="15"/>
    </row>
    <row r="29" spans="2:63" s="3" customFormat="1" x14ac:dyDescent="0.25">
      <c r="B29" s="3" t="s">
        <v>111</v>
      </c>
      <c r="C29" s="11" t="s">
        <v>117</v>
      </c>
      <c r="D29" s="13">
        <f t="shared" si="38"/>
        <v>361</v>
      </c>
      <c r="E29" s="19">
        <f>F29-$F$3</f>
        <v>0.25069444444444444</v>
      </c>
      <c r="F29" s="19">
        <v>0.7729166666666667</v>
      </c>
      <c r="G29" s="11">
        <v>10.053599999999999</v>
      </c>
      <c r="H29" s="11">
        <v>18.945900000000002</v>
      </c>
      <c r="I29" s="11">
        <v>15.3391</v>
      </c>
      <c r="J29" s="11">
        <f t="shared" si="47"/>
        <v>3.6068000000000016</v>
      </c>
      <c r="K29" s="11">
        <f t="shared" si="48"/>
        <v>5.2855000000000008</v>
      </c>
      <c r="L29" s="20">
        <v>164342</v>
      </c>
      <c r="M29" s="20">
        <v>24570</v>
      </c>
      <c r="N29" s="20">
        <v>48849436</v>
      </c>
      <c r="O29" s="20">
        <v>1343748</v>
      </c>
      <c r="P29" s="20">
        <v>2882056</v>
      </c>
      <c r="Q29" s="11">
        <f t="shared" si="3"/>
        <v>20.930009880718337</v>
      </c>
      <c r="R29" s="11">
        <f t="shared" si="4"/>
        <v>5349.768377285156</v>
      </c>
      <c r="S29" s="11">
        <f t="shared" si="5"/>
        <v>701.793540114964</v>
      </c>
      <c r="T29" s="11">
        <f t="shared" si="0"/>
        <v>5.4749920000000006E-3</v>
      </c>
      <c r="U29" s="11">
        <f t="shared" si="6"/>
        <v>549.88619822428836</v>
      </c>
      <c r="V29" s="11">
        <f t="shared" si="7"/>
        <v>2.5913445233317373E-2</v>
      </c>
      <c r="W29" s="11">
        <f t="shared" si="8"/>
        <v>3.2620538885885098</v>
      </c>
      <c r="X29" s="11">
        <f t="shared" si="9"/>
        <v>1.2691234379439009</v>
      </c>
      <c r="Y29" s="11">
        <f t="shared" si="10"/>
        <v>3.3059644193600003E-5</v>
      </c>
      <c r="Z29" s="11">
        <f t="shared" si="11"/>
        <v>0.3612752322333575</v>
      </c>
      <c r="AA29" s="11">
        <f t="shared" si="12"/>
        <v>1.1957942545150809E-3</v>
      </c>
      <c r="AB29" s="11">
        <f t="shared" si="13"/>
        <v>7.9176571983820311E-3</v>
      </c>
      <c r="AC29" s="11">
        <f t="shared" si="14"/>
        <v>0.75670537566125939</v>
      </c>
      <c r="AD29" s="11">
        <f t="shared" si="15"/>
        <v>1.9192255956480004E-7</v>
      </c>
      <c r="AE29" s="11">
        <f t="shared" si="16"/>
        <v>1.3230261929276378E-2</v>
      </c>
      <c r="AF29" s="11">
        <f t="shared" si="17"/>
        <v>9.9784984799768594E-5</v>
      </c>
      <c r="AG29" s="11">
        <f t="shared" si="18"/>
        <v>1.1807424742483091E-2</v>
      </c>
      <c r="AH29" s="11">
        <f t="shared" si="19"/>
        <v>8.5770406790336515E-3</v>
      </c>
      <c r="AI29" s="11">
        <f t="shared" si="20"/>
        <v>1.2025393136605627E-7</v>
      </c>
      <c r="AJ29" s="11">
        <f t="shared" si="21"/>
        <v>1.3729760570464647E-3</v>
      </c>
      <c r="AK29" s="11">
        <f t="shared" si="22"/>
        <v>1.8879005732621051E-2</v>
      </c>
      <c r="AL29" s="11">
        <f t="shared" si="23"/>
        <v>2.2339276780783446</v>
      </c>
      <c r="AM29" s="11">
        <f t="shared" si="24"/>
        <v>1.6227491588371301</v>
      </c>
      <c r="AN29" s="11">
        <f t="shared" si="25"/>
        <v>2.2751666136799973E-5</v>
      </c>
      <c r="AO29" s="11">
        <f t="shared" si="26"/>
        <v>0.25976275793140946</v>
      </c>
      <c r="AP29" s="11">
        <f t="shared" si="49"/>
        <v>1.8879005732621051E-2</v>
      </c>
      <c r="AQ29" s="11">
        <f t="shared" si="30"/>
        <v>2.2339276780783446</v>
      </c>
      <c r="AR29" s="11">
        <f t="shared" si="50"/>
        <v>1.6227491588371301</v>
      </c>
      <c r="AS29" s="11">
        <f t="shared" si="32"/>
        <v>2.2751666136799973E-5</v>
      </c>
      <c r="AT29" s="11">
        <f t="shared" si="55"/>
        <v>0.25839220770844945</v>
      </c>
      <c r="AU29" s="3">
        <f t="shared" si="62"/>
        <v>2.2727174914795773E-2</v>
      </c>
      <c r="AV29" s="3">
        <f t="shared" si="63"/>
        <v>2.9470389202884308</v>
      </c>
      <c r="AW29" s="3">
        <f t="shared" si="64"/>
        <v>1.8356916799748177</v>
      </c>
      <c r="AX29" s="3">
        <f t="shared" si="65"/>
        <v>2.602734263704757E-5</v>
      </c>
      <c r="AY29" s="3">
        <f t="shared" si="66"/>
        <v>0.28440936599062588</v>
      </c>
      <c r="AZ29" s="3">
        <f t="shared" si="51"/>
        <v>0.83067982727279055</v>
      </c>
      <c r="BA29" s="3">
        <f t="shared" si="52"/>
        <v>0.75802449119325066</v>
      </c>
      <c r="BB29" s="3">
        <f t="shared" si="35"/>
        <v>0.8839987545508684</v>
      </c>
      <c r="BC29" s="3">
        <f t="shared" si="46"/>
        <v>0.87414479664992895</v>
      </c>
      <c r="BD29" s="3">
        <f t="shared" si="37"/>
        <v>0.90852214661934183</v>
      </c>
      <c r="BE29" s="15"/>
      <c r="BF29" s="15"/>
      <c r="BG29" s="17">
        <v>302.99999999999989</v>
      </c>
      <c r="BH29">
        <v>0.99089501189971352</v>
      </c>
      <c r="BI29" s="15"/>
      <c r="BJ29" s="15"/>
      <c r="BK29" s="15"/>
    </row>
    <row r="30" spans="2:63" s="4" customFormat="1" x14ac:dyDescent="0.25">
      <c r="B30" s="4" t="s">
        <v>112</v>
      </c>
      <c r="C30" s="5" t="s">
        <v>45</v>
      </c>
      <c r="D30" s="6">
        <f t="shared" si="38"/>
        <v>362</v>
      </c>
      <c r="E30" s="7">
        <f t="shared" ref="E30:E37" si="67">F30-$F$3</f>
        <v>0.25138888888888888</v>
      </c>
      <c r="F30" s="7">
        <v>0.77361111111111114</v>
      </c>
      <c r="G30" s="5">
        <v>9.9908999999999999</v>
      </c>
      <c r="H30" s="5">
        <v>18.951899999999998</v>
      </c>
      <c r="I30" s="5">
        <v>14.426299999999999</v>
      </c>
      <c r="J30" s="5">
        <f t="shared" si="47"/>
        <v>4.525599999999999</v>
      </c>
      <c r="K30" s="5">
        <f t="shared" si="48"/>
        <v>4.4353999999999996</v>
      </c>
      <c r="L30" s="14">
        <v>127913</v>
      </c>
      <c r="M30" s="14">
        <v>21802</v>
      </c>
      <c r="N30" s="14">
        <v>43731724</v>
      </c>
      <c r="O30" s="14">
        <v>1025931</v>
      </c>
      <c r="P30" s="14">
        <v>2156231</v>
      </c>
      <c r="Q30" s="5">
        <f t="shared" si="3"/>
        <v>17.219239897729473</v>
      </c>
      <c r="R30" s="5">
        <f t="shared" si="4"/>
        <v>4724.2740605156714</v>
      </c>
      <c r="S30" s="5">
        <f t="shared" si="5"/>
        <v>628.06510307867404</v>
      </c>
      <c r="T30" s="5">
        <f t="shared" si="0"/>
        <v>4.2037240000000007E-3</v>
      </c>
      <c r="U30" s="5">
        <f t="shared" si="6"/>
        <v>411.59694013641735</v>
      </c>
      <c r="V30" s="5">
        <f t="shared" si="7"/>
        <v>2.1319140917378857E-2</v>
      </c>
      <c r="W30" s="5">
        <f t="shared" si="8"/>
        <v>2.8806549149485798</v>
      </c>
      <c r="X30" s="5">
        <f t="shared" si="9"/>
        <v>1.135792932407474</v>
      </c>
      <c r="Y30" s="5">
        <f t="shared" si="10"/>
        <v>2.5383346629200004E-5</v>
      </c>
      <c r="Z30" s="5">
        <f t="shared" si="11"/>
        <v>0.27041918966962619</v>
      </c>
      <c r="AA30" s="5">
        <f t="shared" si="12"/>
        <v>9.8378683307697823E-4</v>
      </c>
      <c r="AB30" s="5">
        <f t="shared" si="13"/>
        <v>6.9919256095631929E-3</v>
      </c>
      <c r="AC30" s="5">
        <f t="shared" si="14"/>
        <v>0.67720805706906495</v>
      </c>
      <c r="AD30" s="5">
        <f t="shared" si="15"/>
        <v>1.4735902258560003E-7</v>
      </c>
      <c r="AE30" s="5">
        <f t="shared" si="16"/>
        <v>9.9030223796822015E-3</v>
      </c>
      <c r="AF30" s="5">
        <f t="shared" si="17"/>
        <v>1.0084539225511935E-4</v>
      </c>
      <c r="AG30" s="5">
        <f t="shared" si="18"/>
        <v>1.3067703869939946E-2</v>
      </c>
      <c r="AH30" s="5">
        <f t="shared" si="19"/>
        <v>8.1438331112273932E-3</v>
      </c>
      <c r="AI30" s="5">
        <f t="shared" si="20"/>
        <v>1.1552846971388369E-7</v>
      </c>
      <c r="AJ30" s="5">
        <f t="shared" si="21"/>
        <v>1.2677329502317025E-3</v>
      </c>
      <c r="AK30" s="5">
        <f t="shared" si="22"/>
        <v>2.2736481998268332E-2</v>
      </c>
      <c r="AL30" s="5">
        <f t="shared" si="23"/>
        <v>2.9462289466429064</v>
      </c>
      <c r="AM30" s="5">
        <f t="shared" si="24"/>
        <v>1.8360989113106809</v>
      </c>
      <c r="AN30" s="5">
        <f t="shared" si="25"/>
        <v>2.6046911149813704E-5</v>
      </c>
      <c r="AO30" s="5">
        <f t="shared" si="26"/>
        <v>0.28582156067811304</v>
      </c>
      <c r="AP30" s="5">
        <f t="shared" si="49"/>
        <v>2.2736481998268332E-2</v>
      </c>
      <c r="AQ30" s="5">
        <f t="shared" si="30"/>
        <v>2.9462289466429064</v>
      </c>
      <c r="AR30" s="5">
        <f t="shared" si="50"/>
        <v>1.8360989113106809</v>
      </c>
      <c r="AS30" s="5">
        <f t="shared" si="32"/>
        <v>2.6046911149813704E-5</v>
      </c>
      <c r="AT30" s="5">
        <f t="shared" si="55"/>
        <v>0.28445101045515303</v>
      </c>
      <c r="AU30" s="4">
        <f>AP30</f>
        <v>2.2736481998268332E-2</v>
      </c>
      <c r="AV30" s="4">
        <f>AQ30</f>
        <v>2.9462289466429064</v>
      </c>
      <c r="AW30" s="4">
        <f t="shared" ref="AW30:AY30" si="68">AR30</f>
        <v>1.8360989113106809</v>
      </c>
      <c r="AX30" s="4">
        <f t="shared" si="68"/>
        <v>2.6046911149813704E-5</v>
      </c>
      <c r="AY30" s="4">
        <f t="shared" si="68"/>
        <v>0.28445101045515303</v>
      </c>
      <c r="AZ30" s="4">
        <f t="shared" si="51"/>
        <v>1</v>
      </c>
      <c r="BA30" s="4">
        <f t="shared" si="52"/>
        <v>1</v>
      </c>
      <c r="BB30" s="4">
        <f t="shared" si="35"/>
        <v>1</v>
      </c>
      <c r="BC30" s="4">
        <f t="shared" ref="BC30:BC37" si="69">AS30/AX30</f>
        <v>1</v>
      </c>
      <c r="BD30" s="4">
        <f t="shared" si="37"/>
        <v>1</v>
      </c>
      <c r="BE30" s="15"/>
      <c r="BF30" s="16"/>
      <c r="BG30" s="17">
        <v>331.99999999999994</v>
      </c>
      <c r="BH30">
        <v>1.011154241031812</v>
      </c>
      <c r="BI30" s="15"/>
      <c r="BJ30" s="15"/>
      <c r="BK30" s="15"/>
    </row>
    <row r="31" spans="2:63" s="15" customFormat="1" x14ac:dyDescent="0.25">
      <c r="B31" s="15" t="s">
        <v>113</v>
      </c>
      <c r="C31" s="16" t="s">
        <v>117</v>
      </c>
      <c r="D31" s="17">
        <f t="shared" si="38"/>
        <v>391.00000000000006</v>
      </c>
      <c r="E31" s="18">
        <f t="shared" si="67"/>
        <v>0.27152777777777781</v>
      </c>
      <c r="F31" s="18">
        <v>0.79375000000000007</v>
      </c>
      <c r="G31" s="16">
        <v>10.024900000000001</v>
      </c>
      <c r="H31" s="16">
        <v>19.0501</v>
      </c>
      <c r="I31" s="16">
        <v>14.9763</v>
      </c>
      <c r="J31" s="12">
        <f t="shared" si="47"/>
        <v>4.0738000000000003</v>
      </c>
      <c r="K31" s="12">
        <f t="shared" si="48"/>
        <v>4.9513999999999996</v>
      </c>
      <c r="L31" s="1">
        <v>142293</v>
      </c>
      <c r="M31" s="1">
        <v>21771</v>
      </c>
      <c r="N31" s="1">
        <v>47825553</v>
      </c>
      <c r="O31" s="1">
        <v>1307588</v>
      </c>
      <c r="P31" s="1">
        <v>2564351</v>
      </c>
      <c r="Q31" s="16">
        <f t="shared" si="3"/>
        <v>18.684030925629767</v>
      </c>
      <c r="R31" s="16">
        <f t="shared" si="4"/>
        <v>4717.2688857252615</v>
      </c>
      <c r="S31" s="16">
        <f t="shared" si="5"/>
        <v>687.04294584587899</v>
      </c>
      <c r="T31" s="16">
        <f t="shared" si="0"/>
        <v>5.3303520000000009E-3</v>
      </c>
      <c r="U31" s="16">
        <f t="shared" si="6"/>
        <v>489.35481842777119</v>
      </c>
      <c r="V31" s="16">
        <f t="shared" si="7"/>
        <v>2.3132698689022214E-2</v>
      </c>
      <c r="W31" s="16">
        <f t="shared" si="8"/>
        <v>2.8763834669056472</v>
      </c>
      <c r="X31" s="16">
        <f t="shared" si="9"/>
        <v>1.2424484632676875</v>
      </c>
      <c r="Y31" s="16">
        <f t="shared" si="10"/>
        <v>3.2186264481600005E-5</v>
      </c>
      <c r="Z31" s="16">
        <f t="shared" si="11"/>
        <v>0.32150611570704568</v>
      </c>
      <c r="AA31" s="16">
        <f t="shared" si="12"/>
        <v>1.0674747388740055E-3</v>
      </c>
      <c r="AB31" s="16">
        <f t="shared" si="13"/>
        <v>6.9815579508733872E-3</v>
      </c>
      <c r="AC31" s="16">
        <f t="shared" si="14"/>
        <v>0.7408006211435898</v>
      </c>
      <c r="AD31" s="16">
        <f t="shared" si="15"/>
        <v>1.8685229114880003E-7</v>
      </c>
      <c r="AE31" s="16">
        <f t="shared" si="16"/>
        <v>1.1773876931372175E-2</v>
      </c>
      <c r="AF31" s="16">
        <f t="shared" si="17"/>
        <v>9.9523482341399449E-5</v>
      </c>
      <c r="AG31" s="16">
        <f t="shared" si="18"/>
        <v>1.1752379453518182E-2</v>
      </c>
      <c r="AH31" s="16">
        <f t="shared" si="19"/>
        <v>8.7294867451902756E-3</v>
      </c>
      <c r="AI31" s="16">
        <f t="shared" si="20"/>
        <v>1.3204558467953627E-7</v>
      </c>
      <c r="AJ31" s="16">
        <f t="shared" si="21"/>
        <v>1.368048788405359E-3</v>
      </c>
      <c r="AK31" s="16">
        <f t="shared" si="22"/>
        <v>2.0100069140323838E-2</v>
      </c>
      <c r="AL31" s="16">
        <f t="shared" si="23"/>
        <v>2.3735467652619828</v>
      </c>
      <c r="AM31" s="16">
        <f t="shared" si="24"/>
        <v>1.763034039905941</v>
      </c>
      <c r="AN31" s="16">
        <f t="shared" si="25"/>
        <v>2.6668333133969438E-5</v>
      </c>
      <c r="AO31" s="16">
        <f t="shared" si="26"/>
        <v>0.27629534846818254</v>
      </c>
      <c r="AP31" s="16">
        <f t="shared" si="49"/>
        <v>2.0100069140323838E-2</v>
      </c>
      <c r="AQ31" s="16">
        <f t="shared" si="30"/>
        <v>2.3735467652619828</v>
      </c>
      <c r="AR31" s="16">
        <f t="shared" si="50"/>
        <v>1.763034039905941</v>
      </c>
      <c r="AS31" s="16">
        <f t="shared" si="32"/>
        <v>2.6668333133969438E-5</v>
      </c>
      <c r="AT31" s="16">
        <f t="shared" si="55"/>
        <v>0.27492479824522253</v>
      </c>
      <c r="AU31">
        <f>$AU$30+(($AU$34-$AU$30)/($D$34-$D$30))*(D31-$D$30)</f>
        <v>2.2063354813294331E-2</v>
      </c>
      <c r="AV31">
        <f>$AV$30+(($AV$34-$AV$30)/($D$34-$D$30))*(D31-$D$30)</f>
        <v>2.8420251004017021</v>
      </c>
      <c r="AW31">
        <f>$AW$30+(($AW$34-$AW$30)/($D$34-$D$30))*(D31-$D$30)</f>
        <v>1.8105923675136786</v>
      </c>
      <c r="AX31">
        <f>$AX$30+(($AX$34-$AX$30)/($D$34-$D$30))*(D31-$D$30)</f>
        <v>2.5833497242196485E-5</v>
      </c>
      <c r="AY31">
        <f>$AY$30+(($AY$34-$AY$30)/($D$34-$D$30))*(D31-$D$30)</f>
        <v>0.27951274761487094</v>
      </c>
      <c r="AZ31" s="15">
        <f t="shared" si="51"/>
        <v>0.91101599509302589</v>
      </c>
      <c r="BA31" s="15">
        <f t="shared" si="52"/>
        <v>0.83516038085888022</v>
      </c>
      <c r="BB31" s="15">
        <f t="shared" si="35"/>
        <v>0.97373327731793924</v>
      </c>
      <c r="BC31" s="15">
        <f t="shared" si="69"/>
        <v>1.0323160230280137</v>
      </c>
      <c r="BD31" s="15">
        <f t="shared" si="37"/>
        <v>0.98358590293717141</v>
      </c>
      <c r="BG31" s="17">
        <v>361</v>
      </c>
      <c r="BH31">
        <v>0.99506413628800816</v>
      </c>
    </row>
    <row r="32" spans="2:63" x14ac:dyDescent="0.25">
      <c r="B32" t="s">
        <v>114</v>
      </c>
      <c r="C32" s="9" t="s">
        <v>117</v>
      </c>
      <c r="D32" s="10">
        <f t="shared" si="38"/>
        <v>418.99999999999994</v>
      </c>
      <c r="E32" s="8">
        <f t="shared" si="67"/>
        <v>0.29097222222222219</v>
      </c>
      <c r="F32" s="8">
        <v>0.81319444444444444</v>
      </c>
      <c r="G32" s="9">
        <v>10.039300000000001</v>
      </c>
      <c r="H32" s="9">
        <v>18.9252</v>
      </c>
      <c r="I32" s="9">
        <v>15.189500000000001</v>
      </c>
      <c r="J32" s="12">
        <f t="shared" si="47"/>
        <v>3.7356999999999996</v>
      </c>
      <c r="K32" s="12">
        <f t="shared" si="48"/>
        <v>5.1501999999999999</v>
      </c>
      <c r="L32" s="1">
        <v>155362</v>
      </c>
      <c r="M32" s="1">
        <v>23902</v>
      </c>
      <c r="N32" s="1">
        <v>50105541</v>
      </c>
      <c r="O32" s="1">
        <v>1324510</v>
      </c>
      <c r="P32" s="1">
        <v>2804960</v>
      </c>
      <c r="Q32" s="9">
        <f t="shared" si="3"/>
        <v>20.015279461348054</v>
      </c>
      <c r="R32" s="9">
        <f t="shared" si="4"/>
        <v>5198.8181592208439</v>
      </c>
      <c r="S32" s="9">
        <f t="shared" si="5"/>
        <v>719.88964603172315</v>
      </c>
      <c r="T32" s="9">
        <f t="shared" si="0"/>
        <v>5.3980400000000007E-3</v>
      </c>
      <c r="U32" s="9">
        <f t="shared" si="6"/>
        <v>535.19732881149264</v>
      </c>
      <c r="V32" s="9">
        <f t="shared" si="7"/>
        <v>2.4780917501095026E-2</v>
      </c>
      <c r="W32" s="9">
        <f t="shared" si="8"/>
        <v>3.1700110726956363</v>
      </c>
      <c r="X32" s="9">
        <f t="shared" si="9"/>
        <v>1.3018484358837681</v>
      </c>
      <c r="Y32" s="9">
        <f t="shared" si="10"/>
        <v>3.2594984932000006E-5</v>
      </c>
      <c r="Z32" s="9">
        <f t="shared" si="11"/>
        <v>0.3516246450291507</v>
      </c>
      <c r="AA32" s="9">
        <f t="shared" si="12"/>
        <v>1.1435329614651985E-3</v>
      </c>
      <c r="AB32" s="9">
        <f t="shared" si="13"/>
        <v>7.6942508756468481E-3</v>
      </c>
      <c r="AC32" s="9">
        <f t="shared" si="14"/>
        <v>0.77621741138547529</v>
      </c>
      <c r="AD32" s="9">
        <f t="shared" si="15"/>
        <v>1.8922505337600003E-7</v>
      </c>
      <c r="AE32" s="9">
        <f t="shared" si="16"/>
        <v>1.2876847731204512E-2</v>
      </c>
      <c r="AF32" s="9">
        <f t="shared" si="17"/>
        <v>9.8463496966978741E-5</v>
      </c>
      <c r="AG32" s="9">
        <f t="shared" si="18"/>
        <v>1.1881837295128844E-2</v>
      </c>
      <c r="AH32" s="9">
        <f t="shared" si="19"/>
        <v>8.8609901140484677E-3</v>
      </c>
      <c r="AI32" s="9">
        <f t="shared" si="20"/>
        <v>1.2273963208036949E-7</v>
      </c>
      <c r="AJ32" s="9">
        <f t="shared" si="21"/>
        <v>1.3798825276206477E-3</v>
      </c>
      <c r="AK32" s="9">
        <f t="shared" si="22"/>
        <v>1.9118383163174001E-2</v>
      </c>
      <c r="AL32" s="9">
        <f t="shared" si="23"/>
        <v>2.3070632781501388</v>
      </c>
      <c r="AM32" s="9">
        <f t="shared" si="24"/>
        <v>1.7205137886001451</v>
      </c>
      <c r="AN32" s="9">
        <f t="shared" si="25"/>
        <v>2.3832012752974544E-5</v>
      </c>
      <c r="AO32" s="9">
        <f t="shared" si="26"/>
        <v>0.26792794990886715</v>
      </c>
      <c r="AP32" s="9">
        <f t="shared" si="49"/>
        <v>1.9118383163174001E-2</v>
      </c>
      <c r="AQ32" s="9">
        <f t="shared" si="30"/>
        <v>2.3070632781501388</v>
      </c>
      <c r="AR32" s="9">
        <f t="shared" si="50"/>
        <v>1.7205137886001451</v>
      </c>
      <c r="AS32" s="9">
        <f t="shared" si="32"/>
        <v>2.3832012752974544E-5</v>
      </c>
      <c r="AT32" s="9">
        <f t="shared" si="55"/>
        <v>0.26655739968590714</v>
      </c>
      <c r="AU32">
        <f t="shared" ref="AU32:AU33" si="70">$AU$30+(($AU$34-$AU$30)/($D$34-$D$30))*(D32-$D$30)</f>
        <v>2.1413438910560821E-2</v>
      </c>
      <c r="AV32">
        <f t="shared" ref="AV32:AV33" si="71">$AV$30+(($AV$34-$AV$30)/($D$34-$D$30))*(D32-$D$30)</f>
        <v>2.7414144902377817</v>
      </c>
      <c r="AW32">
        <f t="shared" ref="AW32:AW33" si="72">$AW$30+(($AW$34-$AW$30)/($D$34-$D$30))*(D32-$D$30)</f>
        <v>1.7859653597096763</v>
      </c>
      <c r="AX32">
        <f t="shared" ref="AX32:AX33" si="73">$AX$30+(($AX$34-$AX$30)/($D$34-$D$30))*(D32-$D$30)</f>
        <v>2.562744243484193E-5</v>
      </c>
      <c r="AY32">
        <f t="shared" ref="AY32:AY33" si="74">$AY$30+(($AY$34-$AY$30)/($D$34-$D$30))*(D32-$D$30)</f>
        <v>0.2747447697001158</v>
      </c>
      <c r="AZ32">
        <f t="shared" si="51"/>
        <v>0.89282171084370154</v>
      </c>
      <c r="BA32">
        <f t="shared" si="52"/>
        <v>0.8415594527444229</v>
      </c>
      <c r="BB32">
        <f t="shared" si="35"/>
        <v>0.96335227290177072</v>
      </c>
      <c r="BC32">
        <f t="shared" si="69"/>
        <v>0.92994112906770598</v>
      </c>
      <c r="BD32">
        <f t="shared" si="37"/>
        <v>0.9702000878009609</v>
      </c>
      <c r="BE32" s="15"/>
      <c r="BF32" s="16"/>
      <c r="BG32" s="17">
        <v>391.00000000000006</v>
      </c>
      <c r="BH32">
        <v>1.0372696748047581</v>
      </c>
      <c r="BI32" s="15"/>
      <c r="BJ32" s="15"/>
      <c r="BK32" s="15"/>
    </row>
    <row r="33" spans="2:63" x14ac:dyDescent="0.25">
      <c r="B33" t="s">
        <v>115</v>
      </c>
      <c r="C33" s="9" t="s">
        <v>117</v>
      </c>
      <c r="D33" s="10">
        <f t="shared" si="38"/>
        <v>477.99999999999989</v>
      </c>
      <c r="E33" s="8">
        <f t="shared" si="67"/>
        <v>0.33194444444444438</v>
      </c>
      <c r="F33" s="8">
        <v>0.85416666666666663</v>
      </c>
      <c r="G33" s="9">
        <v>9.9960000000000004</v>
      </c>
      <c r="H33" s="9">
        <v>18.9969</v>
      </c>
      <c r="I33" s="9">
        <v>14.576599999999999</v>
      </c>
      <c r="J33" s="12">
        <f t="shared" si="47"/>
        <v>4.420300000000001</v>
      </c>
      <c r="K33" s="12">
        <f t="shared" si="48"/>
        <v>4.5805999999999987</v>
      </c>
      <c r="L33" s="1">
        <v>128992</v>
      </c>
      <c r="M33" s="1">
        <v>18784</v>
      </c>
      <c r="N33" s="1">
        <v>43891406</v>
      </c>
      <c r="O33" s="1">
        <v>1078768</v>
      </c>
      <c r="P33" s="1">
        <v>2203335</v>
      </c>
      <c r="Q33" s="9">
        <f t="shared" si="3"/>
        <v>17.32915015635982</v>
      </c>
      <c r="R33" s="9">
        <f t="shared" si="4"/>
        <v>4042.2863986622378</v>
      </c>
      <c r="S33" s="9">
        <f t="shared" si="5"/>
        <v>630.3655655280711</v>
      </c>
      <c r="T33" s="9">
        <f t="shared" si="0"/>
        <v>4.4150720000000008E-3</v>
      </c>
      <c r="U33" s="9">
        <f t="shared" si="6"/>
        <v>420.5715238349274</v>
      </c>
      <c r="V33" s="9">
        <f t="shared" si="7"/>
        <v>2.1455220808589092E-2</v>
      </c>
      <c r="W33" s="9">
        <f t="shared" si="8"/>
        <v>2.4648087796720963</v>
      </c>
      <c r="X33" s="9">
        <f t="shared" si="9"/>
        <v>1.1399530887009637</v>
      </c>
      <c r="Y33" s="9">
        <f t="shared" si="10"/>
        <v>2.6659529257599999E-5</v>
      </c>
      <c r="Z33" s="9">
        <f t="shared" si="11"/>
        <v>0.27631549115954729</v>
      </c>
      <c r="AA33" s="9">
        <f t="shared" si="12"/>
        <v>9.9006633588330549E-4</v>
      </c>
      <c r="AB33" s="9">
        <f t="shared" si="13"/>
        <v>5.9825838700201112E-3</v>
      </c>
      <c r="AC33" s="9">
        <f t="shared" si="14"/>
        <v>0.67968851920281503</v>
      </c>
      <c r="AD33" s="9">
        <f t="shared" si="15"/>
        <v>1.5476769991680003E-7</v>
      </c>
      <c r="AE33" s="9">
        <f t="shared" si="16"/>
        <v>1.0118950863468354E-2</v>
      </c>
      <c r="AF33" s="9">
        <f t="shared" si="17"/>
        <v>9.9373610398353443E-5</v>
      </c>
      <c r="AG33" s="9">
        <f t="shared" si="18"/>
        <v>1.0922598072459584E-2</v>
      </c>
      <c r="AH33" s="9">
        <f t="shared" si="19"/>
        <v>8.1523158690452839E-3</v>
      </c>
      <c r="AI33" s="9">
        <f t="shared" si="20"/>
        <v>1.1855204610360819E-7</v>
      </c>
      <c r="AJ33" s="9">
        <f t="shared" si="21"/>
        <v>1.2677482318977503E-3</v>
      </c>
      <c r="AK33" s="9">
        <f t="shared" si="22"/>
        <v>2.1694452778752451E-2</v>
      </c>
      <c r="AL33" s="9">
        <f t="shared" si="23"/>
        <v>2.3845343562982113</v>
      </c>
      <c r="AM33" s="9">
        <f t="shared" si="24"/>
        <v>1.7797484759737341</v>
      </c>
      <c r="AN33" s="9">
        <f t="shared" si="25"/>
        <v>2.5881335655505443E-5</v>
      </c>
      <c r="AO33" s="9">
        <f t="shared" si="26"/>
        <v>0.27676466661523613</v>
      </c>
      <c r="AP33" s="9">
        <f t="shared" si="49"/>
        <v>2.1694452778752451E-2</v>
      </c>
      <c r="AQ33" s="9">
        <f t="shared" si="30"/>
        <v>2.3845343562982113</v>
      </c>
      <c r="AR33" s="9">
        <f t="shared" si="50"/>
        <v>1.7797484759737341</v>
      </c>
      <c r="AS33" s="9">
        <f t="shared" si="32"/>
        <v>2.5881335655505443E-5</v>
      </c>
      <c r="AT33" s="9">
        <f t="shared" si="55"/>
        <v>0.27539411639227612</v>
      </c>
      <c r="AU33">
        <f t="shared" si="70"/>
        <v>2.0043973258372344E-2</v>
      </c>
      <c r="AV33">
        <f t="shared" si="71"/>
        <v>2.5294135616780911</v>
      </c>
      <c r="AW33">
        <f t="shared" si="72"/>
        <v>1.7340727361226715</v>
      </c>
      <c r="AX33">
        <f t="shared" si="73"/>
        <v>2.5193255519344833E-5</v>
      </c>
      <c r="AY33">
        <f t="shared" si="74"/>
        <v>0.2646979590940246</v>
      </c>
      <c r="AZ33">
        <f t="shared" si="51"/>
        <v>1.0823429316685356</v>
      </c>
      <c r="BA33">
        <f t="shared" si="52"/>
        <v>0.94272221530916345</v>
      </c>
      <c r="BB33">
        <f t="shared" si="35"/>
        <v>1.0263401522321329</v>
      </c>
      <c r="BC33">
        <f t="shared" si="69"/>
        <v>1.0273120770609523</v>
      </c>
      <c r="BD33">
        <f t="shared" si="37"/>
        <v>1.0404089148811764</v>
      </c>
      <c r="BE33" s="15"/>
      <c r="BF33" s="15"/>
      <c r="BG33" s="17">
        <v>418.99999999999994</v>
      </c>
      <c r="BH33">
        <v>1.0322997382164654</v>
      </c>
      <c r="BI33" s="15"/>
      <c r="BJ33" s="15"/>
      <c r="BK33" s="15"/>
    </row>
    <row r="34" spans="2:63" s="4" customFormat="1" x14ac:dyDescent="0.25">
      <c r="B34" s="4" t="s">
        <v>116</v>
      </c>
      <c r="C34" s="5" t="s">
        <v>46</v>
      </c>
      <c r="D34" s="6">
        <f t="shared" si="38"/>
        <v>478.99999999999989</v>
      </c>
      <c r="E34" s="7">
        <f t="shared" si="67"/>
        <v>0.33263888888888882</v>
      </c>
      <c r="F34" s="7">
        <v>0.85486111111111107</v>
      </c>
      <c r="G34" s="5">
        <v>9.9032999999999998</v>
      </c>
      <c r="H34" s="5">
        <v>19.020199999999999</v>
      </c>
      <c r="I34" s="5">
        <v>15.152699999999999</v>
      </c>
      <c r="J34" s="5">
        <f t="shared" si="47"/>
        <v>3.8674999999999997</v>
      </c>
      <c r="K34" s="5">
        <f t="shared" si="48"/>
        <v>5.2493999999999996</v>
      </c>
      <c r="L34" s="14">
        <v>161640</v>
      </c>
      <c r="M34" s="14">
        <v>25695</v>
      </c>
      <c r="N34" s="14">
        <v>50043281</v>
      </c>
      <c r="O34" s="14">
        <v>1379279</v>
      </c>
      <c r="P34" s="14">
        <v>2742585</v>
      </c>
      <c r="Q34" s="5">
        <f t="shared" si="3"/>
        <v>20.654775850302023</v>
      </c>
      <c r="R34" s="5">
        <f t="shared" si="4"/>
        <v>5603.9884301629272</v>
      </c>
      <c r="S34" s="5">
        <f t="shared" si="5"/>
        <v>718.99269589270023</v>
      </c>
      <c r="T34" s="5">
        <f t="shared" si="0"/>
        <v>5.617116000000001E-3</v>
      </c>
      <c r="U34" s="5">
        <f t="shared" si="6"/>
        <v>523.31320733147891</v>
      </c>
      <c r="V34" s="5">
        <f t="shared" si="7"/>
        <v>2.5572677980258935E-2</v>
      </c>
      <c r="W34" s="5">
        <f t="shared" si="8"/>
        <v>3.4170661159530042</v>
      </c>
      <c r="X34" s="5">
        <f t="shared" si="9"/>
        <v>1.3002263912523591</v>
      </c>
      <c r="Y34" s="5">
        <f t="shared" si="10"/>
        <v>3.3917831542800004E-5</v>
      </c>
      <c r="Z34" s="5">
        <f t="shared" si="11"/>
        <v>0.34381677721678167</v>
      </c>
      <c r="AA34" s="5">
        <f t="shared" si="12"/>
        <v>1.1800693086553053E-3</v>
      </c>
      <c r="AB34" s="5">
        <f t="shared" si="13"/>
        <v>8.2939028766411318E-3</v>
      </c>
      <c r="AC34" s="5">
        <f t="shared" si="14"/>
        <v>0.77525027938282465</v>
      </c>
      <c r="AD34" s="5">
        <f t="shared" si="15"/>
        <v>1.9690463111040006E-7</v>
      </c>
      <c r="AE34" s="5">
        <f t="shared" si="16"/>
        <v>1.2590915768395381E-2</v>
      </c>
      <c r="AF34" s="5">
        <f t="shared" si="17"/>
        <v>1.0509698791750659E-4</v>
      </c>
      <c r="AG34" s="5">
        <f t="shared" si="18"/>
        <v>1.3259041217208882E-2</v>
      </c>
      <c r="AH34" s="5">
        <f t="shared" si="19"/>
        <v>9.0982243847606975E-3</v>
      </c>
      <c r="AI34" s="5">
        <f t="shared" si="20"/>
        <v>1.3221084466232993E-7</v>
      </c>
      <c r="AJ34" s="5">
        <f t="shared" si="21"/>
        <v>1.3958061391205177E-3</v>
      </c>
      <c r="AK34" s="5">
        <f t="shared" si="22"/>
        <v>2.0020761976131861E-2</v>
      </c>
      <c r="AL34" s="5">
        <f t="shared" si="23"/>
        <v>2.525820325600808</v>
      </c>
      <c r="AM34" s="5">
        <f t="shared" si="24"/>
        <v>1.7331932001296715</v>
      </c>
      <c r="AN34" s="5">
        <f t="shared" si="25"/>
        <v>2.5185896419082169E-5</v>
      </c>
      <c r="AO34" s="5">
        <f t="shared" si="26"/>
        <v>0.26589822439145766</v>
      </c>
      <c r="AP34" s="5">
        <f t="shared" si="49"/>
        <v>2.0020761976131861E-2</v>
      </c>
      <c r="AQ34" s="5">
        <f t="shared" si="30"/>
        <v>2.525820325600808</v>
      </c>
      <c r="AR34" s="5">
        <f t="shared" si="50"/>
        <v>1.7331932001296715</v>
      </c>
      <c r="AS34" s="5">
        <f t="shared" si="32"/>
        <v>2.5185896419082169E-5</v>
      </c>
      <c r="AT34" s="5">
        <f t="shared" si="55"/>
        <v>0.26452767416849765</v>
      </c>
      <c r="AU34" s="4">
        <f>AP34</f>
        <v>2.0020761976131861E-2</v>
      </c>
      <c r="AV34" s="4">
        <f t="shared" ref="AV34:AY34" si="75">AQ34</f>
        <v>2.525820325600808</v>
      </c>
      <c r="AW34" s="4">
        <f t="shared" si="75"/>
        <v>1.7331932001296715</v>
      </c>
      <c r="AX34" s="4">
        <f t="shared" si="75"/>
        <v>2.5185896419082169E-5</v>
      </c>
      <c r="AY34" s="4">
        <f t="shared" si="75"/>
        <v>0.26452767416849765</v>
      </c>
      <c r="AZ34" s="4">
        <f t="shared" si="51"/>
        <v>1</v>
      </c>
      <c r="BA34" s="4">
        <f t="shared" si="52"/>
        <v>1</v>
      </c>
      <c r="BB34" s="4">
        <f t="shared" si="35"/>
        <v>1</v>
      </c>
      <c r="BC34" s="4">
        <f t="shared" si="69"/>
        <v>1</v>
      </c>
      <c r="BD34" s="4">
        <f t="shared" si="37"/>
        <v>1</v>
      </c>
      <c r="BE34" s="15"/>
      <c r="BF34" s="16"/>
      <c r="BG34" s="17">
        <v>477.99999999999989</v>
      </c>
      <c r="BH34">
        <v>1.0111173171131627</v>
      </c>
      <c r="BI34" s="15"/>
      <c r="BJ34" s="15"/>
      <c r="BK34" s="15"/>
    </row>
    <row r="35" spans="2:63" s="15" customFormat="1" x14ac:dyDescent="0.25">
      <c r="B35" s="15" t="s">
        <v>0</v>
      </c>
      <c r="C35" s="16" t="s">
        <v>117</v>
      </c>
      <c r="D35" s="17">
        <f t="shared" si="38"/>
        <v>540</v>
      </c>
      <c r="E35" s="18">
        <f t="shared" si="67"/>
        <v>0.375</v>
      </c>
      <c r="F35" s="18">
        <v>0.89722222222222225</v>
      </c>
      <c r="G35" s="16">
        <v>9.9766999999999992</v>
      </c>
      <c r="H35" s="16">
        <v>18.937799999999999</v>
      </c>
      <c r="I35" s="16">
        <v>14.4788</v>
      </c>
      <c r="J35" s="12">
        <f t="shared" si="47"/>
        <v>4.4589999999999996</v>
      </c>
      <c r="K35" s="12">
        <f t="shared" si="48"/>
        <v>4.5021000000000004</v>
      </c>
      <c r="L35" s="1">
        <v>115089</v>
      </c>
      <c r="M35" s="1">
        <v>17277</v>
      </c>
      <c r="N35" s="1">
        <v>40876369</v>
      </c>
      <c r="O35" s="1">
        <v>1055649</v>
      </c>
      <c r="P35" s="1">
        <v>2094995</v>
      </c>
      <c r="Q35" s="16">
        <f t="shared" si="3"/>
        <v>15.912947815546342</v>
      </c>
      <c r="R35" s="16">
        <f t="shared" si="4"/>
        <v>3701.7445144961921</v>
      </c>
      <c r="S35" s="16">
        <f t="shared" si="5"/>
        <v>586.9293648163889</v>
      </c>
      <c r="T35" s="16">
        <f t="shared" si="0"/>
        <v>4.3225960000000006E-3</v>
      </c>
      <c r="U35" s="16">
        <f t="shared" si="6"/>
        <v>399.92982890675609</v>
      </c>
      <c r="V35" s="16">
        <f t="shared" si="7"/>
        <v>1.9701820690427925E-2</v>
      </c>
      <c r="W35" s="16">
        <f t="shared" si="8"/>
        <v>2.2571612893269464</v>
      </c>
      <c r="X35" s="16">
        <f t="shared" si="9"/>
        <v>1.0614030633339577</v>
      </c>
      <c r="Y35" s="16">
        <f t="shared" si="10"/>
        <v>2.6101131426800002E-5</v>
      </c>
      <c r="Z35" s="16">
        <f t="shared" si="11"/>
        <v>0.26275389759173878</v>
      </c>
      <c r="AA35" s="16">
        <f t="shared" si="12"/>
        <v>9.091544475456092E-4</v>
      </c>
      <c r="AB35" s="16">
        <f t="shared" si="13"/>
        <v>5.4785818814543641E-3</v>
      </c>
      <c r="AC35" s="16">
        <f t="shared" si="14"/>
        <v>0.63285365296644724</v>
      </c>
      <c r="AD35" s="16">
        <f t="shared" si="15"/>
        <v>1.5152600922240002E-7</v>
      </c>
      <c r="AE35" s="16">
        <f t="shared" si="16"/>
        <v>9.6223116834965507E-3</v>
      </c>
      <c r="AF35" s="16">
        <f t="shared" si="17"/>
        <v>9.1943522696913201E-5</v>
      </c>
      <c r="AG35" s="16">
        <f t="shared" si="18"/>
        <v>1.0089347312597348E-2</v>
      </c>
      <c r="AH35" s="16">
        <f t="shared" si="19"/>
        <v>7.5819666904263601E-3</v>
      </c>
      <c r="AI35" s="16">
        <f t="shared" si="20"/>
        <v>1.1706713027822137E-7</v>
      </c>
      <c r="AJ35" s="16">
        <f t="shared" si="21"/>
        <v>1.214940238791833E-3</v>
      </c>
      <c r="AK35" s="16">
        <f t="shared" si="22"/>
        <v>2.0422363496349082E-2</v>
      </c>
      <c r="AL35" s="16">
        <f t="shared" si="23"/>
        <v>2.2410313659397496</v>
      </c>
      <c r="AM35" s="16">
        <f t="shared" si="24"/>
        <v>1.6840955754928497</v>
      </c>
      <c r="AN35" s="16">
        <f t="shared" si="25"/>
        <v>2.6002783207441277E-5</v>
      </c>
      <c r="AO35" s="16">
        <f t="shared" si="26"/>
        <v>0.26986078469865904</v>
      </c>
      <c r="AP35" s="16">
        <f t="shared" si="49"/>
        <v>2.0422363496349082E-2</v>
      </c>
      <c r="AQ35" s="16">
        <f t="shared" si="30"/>
        <v>2.2410313659397496</v>
      </c>
      <c r="AR35" s="16">
        <f t="shared" si="50"/>
        <v>1.6840955754928497</v>
      </c>
      <c r="AS35" s="16">
        <f t="shared" si="32"/>
        <v>2.6002783207441277E-5</v>
      </c>
      <c r="AT35" s="16">
        <f t="shared" si="55"/>
        <v>0.26849023447569903</v>
      </c>
      <c r="AU35">
        <f>$AU$34+(($AU$37-$AU$34)/($D$37-$D$34))*(D35-$D$34)</f>
        <v>2.0356952882389645E-2</v>
      </c>
      <c r="AV35">
        <f>$AV$34+(($AV$37-$AV$34)/($D$37-$D$34))*(D35-$D$34)</f>
        <v>2.4725491825408099</v>
      </c>
      <c r="AW35">
        <f>$AW$34+(($AW$37-$AW$34)/($D$37-$D$34))*(D35-$D$34)</f>
        <v>1.7284883918405252</v>
      </c>
      <c r="AX35">
        <f>$AX$34+(($AX$37-$AX$34)/($D$37-$D$34))*(D35-$D$34)</f>
        <v>2.5642726425377539E-5</v>
      </c>
      <c r="AY35">
        <f>$AY$34+(($AY$37-$AY$34)/($D$37-$D$34))*(D35-$D$34)</f>
        <v>0.2652363789124742</v>
      </c>
      <c r="AZ35" s="15">
        <f t="shared" si="51"/>
        <v>1.0032131829521511</v>
      </c>
      <c r="BA35" s="15">
        <f t="shared" si="52"/>
        <v>0.9063647274497687</v>
      </c>
      <c r="BB35" s="15">
        <f t="shared" si="35"/>
        <v>0.97431697166308118</v>
      </c>
      <c r="BC35" s="15">
        <f t="shared" si="69"/>
        <v>1.014041283133895</v>
      </c>
      <c r="BD35" s="15">
        <f t="shared" si="37"/>
        <v>1.0122677574492849</v>
      </c>
      <c r="BG35" s="17">
        <v>540</v>
      </c>
      <c r="BH35">
        <v>1.0015274028952166</v>
      </c>
    </row>
    <row r="36" spans="2:63" x14ac:dyDescent="0.25">
      <c r="B36" t="s">
        <v>2</v>
      </c>
      <c r="C36" s="9" t="s">
        <v>117</v>
      </c>
      <c r="D36" s="10">
        <f t="shared" si="38"/>
        <v>601.99999999999989</v>
      </c>
      <c r="E36" s="8">
        <f t="shared" si="67"/>
        <v>0.41805555555555551</v>
      </c>
      <c r="F36" s="8">
        <v>0.94027777777777777</v>
      </c>
      <c r="G36" s="9">
        <v>10.0871</v>
      </c>
      <c r="H36" s="9">
        <v>18.847000000000001</v>
      </c>
      <c r="I36" s="9">
        <v>14.3438</v>
      </c>
      <c r="J36" s="12">
        <f t="shared" si="47"/>
        <v>4.5032000000000014</v>
      </c>
      <c r="K36" s="12">
        <f t="shared" si="48"/>
        <v>4.2567000000000004</v>
      </c>
      <c r="L36" s="1">
        <v>108736</v>
      </c>
      <c r="M36" s="1">
        <v>15487</v>
      </c>
      <c r="N36" s="1">
        <v>39144900</v>
      </c>
      <c r="O36" s="1">
        <v>1020918</v>
      </c>
      <c r="P36" s="1">
        <v>1932238</v>
      </c>
      <c r="Q36" s="9">
        <f t="shared" si="3"/>
        <v>15.265811695918346</v>
      </c>
      <c r="R36" s="9">
        <f t="shared" si="4"/>
        <v>3297.2521636951169</v>
      </c>
      <c r="S36" s="9">
        <f t="shared" si="5"/>
        <v>561.9849163701324</v>
      </c>
      <c r="T36" s="9">
        <f t="shared" si="0"/>
        <v>4.1836720000000003E-3</v>
      </c>
      <c r="U36" s="9">
        <f t="shared" si="6"/>
        <v>368.92022634607321</v>
      </c>
      <c r="V36" s="9">
        <f t="shared" si="7"/>
        <v>1.8900601460716503E-2</v>
      </c>
      <c r="W36" s="9">
        <f t="shared" si="8"/>
        <v>2.0105196120092175</v>
      </c>
      <c r="X36" s="9">
        <f t="shared" si="9"/>
        <v>1.0162935227637473</v>
      </c>
      <c r="Y36" s="9">
        <f t="shared" si="10"/>
        <v>2.52622666376E-5</v>
      </c>
      <c r="Z36" s="9">
        <f t="shared" si="11"/>
        <v>0.2423805887093701</v>
      </c>
      <c r="AA36" s="9">
        <f t="shared" si="12"/>
        <v>8.7218161962290288E-4</v>
      </c>
      <c r="AB36" s="9">
        <f t="shared" si="13"/>
        <v>4.8799332022687733E-3</v>
      </c>
      <c r="AC36" s="9">
        <f t="shared" si="14"/>
        <v>0.60595742615151338</v>
      </c>
      <c r="AD36" s="9">
        <f t="shared" si="15"/>
        <v>1.466561117568E-7</v>
      </c>
      <c r="AE36" s="9">
        <f t="shared" si="16"/>
        <v>8.8762206458865203E-3</v>
      </c>
      <c r="AF36" s="9">
        <f t="shared" si="17"/>
        <v>8.8825803998147387E-5</v>
      </c>
      <c r="AG36" s="9">
        <f t="shared" si="18"/>
        <v>9.0745443284620097E-3</v>
      </c>
      <c r="AH36" s="9">
        <f t="shared" si="19"/>
        <v>7.1559519676088557E-3</v>
      </c>
      <c r="AI36" s="9">
        <f t="shared" si="20"/>
        <v>1.1438531019335552E-7</v>
      </c>
      <c r="AJ36" s="9">
        <f t="shared" si="21"/>
        <v>1.1292716754993809E-3</v>
      </c>
      <c r="AK36" s="9">
        <f t="shared" si="22"/>
        <v>2.0867292503147363E-2</v>
      </c>
      <c r="AL36" s="9">
        <f t="shared" si="23"/>
        <v>2.1318261396062699</v>
      </c>
      <c r="AM36" s="9">
        <f t="shared" si="24"/>
        <v>1.6811031944014978</v>
      </c>
      <c r="AN36" s="9">
        <f t="shared" si="25"/>
        <v>2.687182798725668E-5</v>
      </c>
      <c r="AO36" s="9">
        <f t="shared" si="26"/>
        <v>0.26529275624295368</v>
      </c>
      <c r="AP36" s="9">
        <f t="shared" si="49"/>
        <v>2.0867292503147363E-2</v>
      </c>
      <c r="AQ36" s="9">
        <f t="shared" si="30"/>
        <v>2.1318261396062699</v>
      </c>
      <c r="AR36" s="9">
        <f t="shared" si="50"/>
        <v>1.6811031944014978</v>
      </c>
      <c r="AS36" s="9">
        <f t="shared" si="32"/>
        <v>2.687182798725668E-5</v>
      </c>
      <c r="AT36" s="9">
        <f t="shared" si="55"/>
        <v>0.26392220601999367</v>
      </c>
      <c r="AU36">
        <f>$AU$34+(($AU$37-$AU$34)/($D$37-$D$34))*(D36-$D$34)</f>
        <v>2.0698655114979519E-2</v>
      </c>
      <c r="AV36">
        <f>$AV$34+(($AV$37-$AV$34)/($D$37-$D$34))*(D36-$D$34)</f>
        <v>2.4184047420535992</v>
      </c>
      <c r="AW36">
        <f>$AW$34+(($AW$37-$AW$34)/($D$37-$D$34))*(D36-$D$34)</f>
        <v>1.7237064555466388</v>
      </c>
      <c r="AX36">
        <f>$AX$34+(($AX$37-$AX$34)/($D$37-$D$34))*(D36-$D$34)</f>
        <v>2.6107045448169556E-5</v>
      </c>
      <c r="AY36">
        <f>$AY$34+(($AY$37-$AY$34)/($D$37-$D$34))*(D36-$D$34)</f>
        <v>0.2659567017670077</v>
      </c>
      <c r="AZ36">
        <f t="shared" si="51"/>
        <v>1.0081472630579658</v>
      </c>
      <c r="BA36">
        <f t="shared" si="52"/>
        <v>0.88150097563736174</v>
      </c>
      <c r="BB36">
        <f t="shared" si="35"/>
        <v>0.97528392319466584</v>
      </c>
      <c r="BC36">
        <f t="shared" si="69"/>
        <v>1.0292941053251488</v>
      </c>
      <c r="BD36">
        <f t="shared" si="37"/>
        <v>0.99235027456162261</v>
      </c>
      <c r="BE36" s="15"/>
      <c r="BF36" s="16"/>
      <c r="BG36" s="17">
        <v>601.99999999999989</v>
      </c>
      <c r="BH36">
        <v>1.0113706407537524</v>
      </c>
      <c r="BI36" s="15"/>
      <c r="BJ36" s="15"/>
      <c r="BK36" s="15"/>
    </row>
    <row r="37" spans="2:63" s="4" customFormat="1" x14ac:dyDescent="0.25">
      <c r="B37" s="4" t="s">
        <v>3</v>
      </c>
      <c r="C37" s="5" t="s">
        <v>47</v>
      </c>
      <c r="D37" s="6">
        <f t="shared" si="38"/>
        <v>602.99999999999989</v>
      </c>
      <c r="E37" s="7">
        <f t="shared" si="67"/>
        <v>0.41874999999999996</v>
      </c>
      <c r="F37" s="7">
        <v>0.94097222222222221</v>
      </c>
      <c r="G37" s="5">
        <v>9.9780999999999995</v>
      </c>
      <c r="H37" s="5">
        <v>18.827999999999999</v>
      </c>
      <c r="I37" s="5">
        <v>14.5335</v>
      </c>
      <c r="J37" s="5">
        <f t="shared" si="47"/>
        <v>4.2944999999999993</v>
      </c>
      <c r="K37" s="5">
        <f t="shared" si="48"/>
        <v>4.5554000000000006</v>
      </c>
      <c r="L37" s="14">
        <v>124884</v>
      </c>
      <c r="M37" s="14">
        <v>19459</v>
      </c>
      <c r="N37" s="14">
        <v>43125112</v>
      </c>
      <c r="O37" s="14">
        <v>1114870</v>
      </c>
      <c r="P37" s="14">
        <v>2176659</v>
      </c>
      <c r="Q37" s="5">
        <f t="shared" si="3"/>
        <v>16.910696641574393</v>
      </c>
      <c r="R37" s="5">
        <f t="shared" si="4"/>
        <v>4194.8184303889002</v>
      </c>
      <c r="S37" s="5">
        <f t="shared" si="5"/>
        <v>619.3259331825451</v>
      </c>
      <c r="T37" s="5">
        <f t="shared" si="0"/>
        <v>4.5594800000000003E-3</v>
      </c>
      <c r="U37" s="5">
        <f t="shared" si="6"/>
        <v>415.48902564493392</v>
      </c>
      <c r="V37" s="5">
        <f t="shared" si="7"/>
        <v>2.0937133511933256E-2</v>
      </c>
      <c r="W37" s="5">
        <f t="shared" si="8"/>
        <v>2.5578161160907928</v>
      </c>
      <c r="X37" s="5">
        <f t="shared" si="9"/>
        <v>1.1199890175673146</v>
      </c>
      <c r="Y37" s="5">
        <f t="shared" si="10"/>
        <v>2.7531508084000001E-5</v>
      </c>
      <c r="Z37" s="5">
        <f t="shared" si="11"/>
        <v>0.27297628984872158</v>
      </c>
      <c r="AA37" s="5">
        <f t="shared" si="12"/>
        <v>9.6615883122306971E-4</v>
      </c>
      <c r="AB37" s="5">
        <f t="shared" si="13"/>
        <v>6.2083312769755728E-3</v>
      </c>
      <c r="AC37" s="5">
        <f t="shared" si="14"/>
        <v>0.6677850908244134</v>
      </c>
      <c r="AD37" s="5">
        <f t="shared" si="15"/>
        <v>1.5982983571200002E-7</v>
      </c>
      <c r="AE37" s="5">
        <f t="shared" si="16"/>
        <v>9.9966659570171097E-3</v>
      </c>
      <c r="AF37" s="5">
        <f t="shared" si="17"/>
        <v>9.431575980675093E-5</v>
      </c>
      <c r="AG37" s="5">
        <f t="shared" si="18"/>
        <v>1.1012822742851041E-2</v>
      </c>
      <c r="AH37" s="5">
        <f t="shared" si="19"/>
        <v>7.8518210386843666E-3</v>
      </c>
      <c r="AI37" s="5">
        <f t="shared" si="20"/>
        <v>1.1896215030034042E-7</v>
      </c>
      <c r="AJ37" s="5">
        <f t="shared" si="21"/>
        <v>1.2178354888559304E-3</v>
      </c>
      <c r="AK37" s="5">
        <f t="shared" si="22"/>
        <v>2.0704166441311615E-2</v>
      </c>
      <c r="AL37" s="5">
        <f t="shared" si="23"/>
        <v>2.4175314446263863</v>
      </c>
      <c r="AM37" s="5">
        <f t="shared" si="24"/>
        <v>1.7236293275418988</v>
      </c>
      <c r="AN37" s="5">
        <f t="shared" si="25"/>
        <v>2.61145344646662E-5</v>
      </c>
      <c r="AO37" s="5">
        <f t="shared" si="26"/>
        <v>0.26733887010052471</v>
      </c>
      <c r="AP37" s="5">
        <f t="shared" si="49"/>
        <v>2.0704166441311615E-2</v>
      </c>
      <c r="AQ37" s="5">
        <f t="shared" si="30"/>
        <v>2.4175314446263863</v>
      </c>
      <c r="AR37" s="5">
        <f t="shared" si="50"/>
        <v>1.7236293275418988</v>
      </c>
      <c r="AS37" s="5">
        <f t="shared" si="32"/>
        <v>2.61145344646662E-5</v>
      </c>
      <c r="AT37" s="5">
        <f t="shared" si="55"/>
        <v>0.2659683198775647</v>
      </c>
      <c r="AU37" s="4">
        <f>AP37</f>
        <v>2.0704166441311615E-2</v>
      </c>
      <c r="AV37" s="4">
        <f t="shared" ref="AV37:AY37" si="76">AQ37</f>
        <v>2.4175314446263863</v>
      </c>
      <c r="AW37" s="4">
        <f t="shared" si="76"/>
        <v>1.7236293275418988</v>
      </c>
      <c r="AX37" s="4">
        <f t="shared" si="76"/>
        <v>2.61145344646662E-5</v>
      </c>
      <c r="AY37" s="4">
        <f t="shared" si="76"/>
        <v>0.2659683198775647</v>
      </c>
      <c r="AZ37" s="4">
        <f t="shared" si="51"/>
        <v>1</v>
      </c>
      <c r="BA37" s="4">
        <f t="shared" si="52"/>
        <v>1</v>
      </c>
      <c r="BB37" s="4">
        <f t="shared" si="35"/>
        <v>1</v>
      </c>
      <c r="BC37" s="4">
        <f t="shared" si="69"/>
        <v>1</v>
      </c>
      <c r="BD37" s="4">
        <f t="shared" si="37"/>
        <v>1</v>
      </c>
      <c r="BE37" s="15"/>
      <c r="BF37" s="15"/>
      <c r="BG37" s="9"/>
      <c r="BH37"/>
      <c r="BI37" s="15"/>
      <c r="BJ37" s="15"/>
      <c r="BK37" s="15"/>
    </row>
    <row r="38" spans="2:63" s="16" customFormat="1" x14ac:dyDescent="0.25">
      <c r="B38" s="15" t="s">
        <v>4</v>
      </c>
      <c r="C38" s="16" t="s">
        <v>120</v>
      </c>
      <c r="D38" s="17"/>
      <c r="E38" s="18"/>
      <c r="F38" s="18"/>
      <c r="J38" s="16">
        <f t="shared" si="1"/>
        <v>0</v>
      </c>
      <c r="K38" s="16">
        <f t="shared" si="2"/>
        <v>0</v>
      </c>
      <c r="L38" s="1">
        <v>5582801</v>
      </c>
      <c r="M38" s="1">
        <v>2536</v>
      </c>
      <c r="N38" s="1">
        <v>3271992</v>
      </c>
      <c r="O38" t="s">
        <v>1</v>
      </c>
      <c r="P38" s="1">
        <v>4038626</v>
      </c>
      <c r="Q38" s="16">
        <f t="shared" si="3"/>
        <v>572.87090892422407</v>
      </c>
      <c r="R38" s="16">
        <f t="shared" si="4"/>
        <v>370.67091496621697</v>
      </c>
      <c r="S38" s="16">
        <f t="shared" si="5"/>
        <v>45.181032371457796</v>
      </c>
      <c r="T38" s="16" t="e">
        <f t="shared" si="0"/>
        <v>#VALUE!</v>
      </c>
      <c r="U38" s="16">
        <f t="shared" si="6"/>
        <v>770.24400792592303</v>
      </c>
      <c r="V38" s="16">
        <f t="shared" si="7"/>
        <v>0.70927147233908183</v>
      </c>
      <c r="W38" s="16">
        <f t="shared" si="8"/>
        <v>0.22601885058915669</v>
      </c>
      <c r="X38" s="16">
        <f t="shared" si="9"/>
        <v>8.1705378940544277E-2</v>
      </c>
      <c r="Y38" s="16" t="e">
        <f t="shared" si="10"/>
        <v>#VALUE!</v>
      </c>
      <c r="Z38" s="16">
        <f t="shared" si="11"/>
        <v>0.50605031320733151</v>
      </c>
      <c r="AA38" s="16">
        <f t="shared" si="12"/>
        <v>3.272983363956769E-2</v>
      </c>
      <c r="AB38" s="16">
        <f t="shared" si="13"/>
        <v>5.4859295415000118E-4</v>
      </c>
      <c r="AC38" s="16">
        <f t="shared" si="14"/>
        <v>4.8716222249362506E-2</v>
      </c>
      <c r="AD38" s="16" t="e">
        <f t="shared" si="15"/>
        <v>#VALUE!</v>
      </c>
      <c r="AE38" s="16">
        <f t="shared" si="16"/>
        <v>1.853207083069771E-2</v>
      </c>
      <c r="AF38" s="16">
        <f t="shared" si="17"/>
        <v>0</v>
      </c>
      <c r="AG38" s="16">
        <f t="shared" si="18"/>
        <v>0</v>
      </c>
      <c r="AH38" s="16">
        <f t="shared" si="19"/>
        <v>0</v>
      </c>
      <c r="AI38" s="16" t="e">
        <f t="shared" si="20"/>
        <v>#VALUE!</v>
      </c>
      <c r="AJ38" s="16">
        <f t="shared" si="21"/>
        <v>0</v>
      </c>
      <c r="AK38" s="16" t="e">
        <f t="shared" si="22"/>
        <v>#DIV/0!</v>
      </c>
      <c r="AL38" s="16" t="e">
        <f t="shared" si="23"/>
        <v>#DIV/0!</v>
      </c>
      <c r="AM38" s="16" t="e">
        <f t="shared" si="24"/>
        <v>#DIV/0!</v>
      </c>
      <c r="AN38" s="16" t="e">
        <f t="shared" si="25"/>
        <v>#VALUE!</v>
      </c>
      <c r="AO38" s="16" t="e">
        <f t="shared" si="26"/>
        <v>#DIV/0!</v>
      </c>
      <c r="AP38" s="16" t="e">
        <f t="shared" si="49"/>
        <v>#DIV/0!</v>
      </c>
      <c r="AQ38" s="16" t="e">
        <f t="shared" si="30"/>
        <v>#DIV/0!</v>
      </c>
      <c r="AR38" s="16" t="e">
        <f t="shared" si="50"/>
        <v>#DIV/0!</v>
      </c>
      <c r="AS38" s="16" t="e">
        <f t="shared" si="32"/>
        <v>#VALUE!</v>
      </c>
      <c r="AT38" s="16" t="e">
        <f t="shared" si="55"/>
        <v>#DIV/0!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G38"/>
      <c r="BH38"/>
    </row>
    <row r="39" spans="2:63" x14ac:dyDescent="0.25">
      <c r="D39" s="10"/>
      <c r="E39" s="8"/>
      <c r="F39" s="8"/>
      <c r="L39" s="1"/>
      <c r="N39" s="1"/>
      <c r="O39" s="1"/>
      <c r="P39" s="1"/>
      <c r="BF39" s="9"/>
    </row>
    <row r="40" spans="2:63" x14ac:dyDescent="0.25">
      <c r="BF40" s="9"/>
    </row>
    <row r="41" spans="2:63" x14ac:dyDescent="0.25">
      <c r="BF41" s="9"/>
    </row>
    <row r="42" spans="2:63" x14ac:dyDescent="0.25">
      <c r="BF42" s="9"/>
    </row>
    <row r="43" spans="2:63" x14ac:dyDescent="0.25">
      <c r="BF43" s="9"/>
      <c r="BG43" s="17">
        <v>91</v>
      </c>
      <c r="BH43">
        <v>0.85752896821701896</v>
      </c>
    </row>
    <row r="44" spans="2:63" x14ac:dyDescent="0.25">
      <c r="BF44" s="9"/>
      <c r="BG44" s="17">
        <v>112</v>
      </c>
      <c r="BH44">
        <v>0.85420417057462417</v>
      </c>
    </row>
    <row r="45" spans="2:63" x14ac:dyDescent="0.25">
      <c r="BF45" s="9"/>
      <c r="BG45" s="17">
        <v>131</v>
      </c>
      <c r="BH45">
        <v>0.84996827419403287</v>
      </c>
    </row>
    <row r="46" spans="2:63" x14ac:dyDescent="0.25">
      <c r="BF46" s="9"/>
      <c r="BG46" s="17">
        <v>153</v>
      </c>
      <c r="BH46">
        <v>0.90211229574178287</v>
      </c>
    </row>
    <row r="47" spans="2:63" x14ac:dyDescent="0.25">
      <c r="BF47" s="9"/>
      <c r="BG47" s="17">
        <v>172</v>
      </c>
      <c r="BH47">
        <v>0.89307524363095092</v>
      </c>
    </row>
    <row r="48" spans="2:63" x14ac:dyDescent="0.25">
      <c r="BF48" s="9"/>
      <c r="BG48" s="17">
        <v>199</v>
      </c>
      <c r="BH48">
        <v>0.93573056162384038</v>
      </c>
    </row>
    <row r="49" spans="58:60" x14ac:dyDescent="0.25">
      <c r="BF49" s="9"/>
      <c r="BG49" s="17">
        <v>228</v>
      </c>
      <c r="BH49">
        <v>0.93245328614262968</v>
      </c>
    </row>
    <row r="50" spans="58:60" x14ac:dyDescent="0.25">
      <c r="BF50" s="9"/>
      <c r="BG50" s="17">
        <v>258</v>
      </c>
      <c r="BH50">
        <v>0.92790560599858452</v>
      </c>
    </row>
  </sheetData>
  <autoFilter ref="BG12:BH37" xr:uid="{0AD4ED84-AD5B-42D8-B3C3-AAC4C8D3E0C0}">
    <sortState xmlns:xlrd2="http://schemas.microsoft.com/office/spreadsheetml/2017/richdata2" ref="BG13:BH37">
      <sortCondition ref="BG12:BG37"/>
    </sortState>
  </autoFilter>
  <mergeCells count="10">
    <mergeCell ref="BG4:BH4"/>
    <mergeCell ref="AF4:AI4"/>
    <mergeCell ref="AP4:AT4"/>
    <mergeCell ref="AU4:AY4"/>
    <mergeCell ref="AZ4:BD4"/>
    <mergeCell ref="L4:P4"/>
    <mergeCell ref="Q4:U4"/>
    <mergeCell ref="V4:Z4"/>
    <mergeCell ref="AA4:AE4"/>
    <mergeCell ref="AK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2019-06-05T19:29:47Z</dcterms:modified>
</cp:coreProperties>
</file>