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pmcgu\OneDrive - Cornell University\Documents\First Publication Tracer Tests\"/>
    </mc:Choice>
  </mc:AlternateContent>
  <xr:revisionPtr revIDLastSave="282" documentId="8_{B1911416-6611-487A-A36E-01DBEA7084FF}" xr6:coauthVersionLast="37" xr6:coauthVersionMax="37" xr10:uidLastSave="{19051B13-387D-401F-8947-51A50F828A35}"/>
  <bookViews>
    <workbookView xWindow="0" yWindow="0" windowWidth="28800" windowHeight="12210" firstSheet="2" activeTab="3" xr2:uid="{00000000-000D-0000-FFFF-FFFF00000000}"/>
  </bookViews>
  <sheets>
    <sheet name="Autosampler - FID" sheetId="1" r:id="rId1"/>
    <sheet name="Autosampler - TCD" sheetId="2" r:id="rId2"/>
    <sheet name="Autosampler - ECD" sheetId="3" r:id="rId3"/>
    <sheet name="Aqueous Samples" sheetId="4" r:id="rId4"/>
  </sheets>
  <definedNames>
    <definedName name="_xlnm._FilterDatabase" localSheetId="3" hidden="1">'Aqueous Samples'!$BG$11:$BG$48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2" i="4" l="1"/>
  <c r="U34" i="4" l="1"/>
  <c r="Z34" i="4" s="1"/>
  <c r="U35" i="4"/>
  <c r="Z35" i="4" s="1"/>
  <c r="U36" i="4"/>
  <c r="Z36" i="4" s="1"/>
  <c r="T34" i="4"/>
  <c r="AD34" i="4" s="1"/>
  <c r="T35" i="4"/>
  <c r="Y35" i="4" s="1"/>
  <c r="T36" i="4"/>
  <c r="Y36" i="4" s="1"/>
  <c r="S34" i="4"/>
  <c r="X34" i="4" s="1"/>
  <c r="S35" i="4"/>
  <c r="AC35" i="4" s="1"/>
  <c r="S36" i="4"/>
  <c r="X36" i="4" s="1"/>
  <c r="R34" i="4"/>
  <c r="W34" i="4" s="1"/>
  <c r="R35" i="4"/>
  <c r="W35" i="4" s="1"/>
  <c r="R36" i="4"/>
  <c r="AB36" i="4" s="1"/>
  <c r="Q34" i="4"/>
  <c r="V34" i="4" s="1"/>
  <c r="Q35" i="4"/>
  <c r="V35" i="4" s="1"/>
  <c r="Q36" i="4"/>
  <c r="V36" i="4" s="1"/>
  <c r="J36" i="4"/>
  <c r="K36" i="4"/>
  <c r="J35" i="4"/>
  <c r="K35" i="4"/>
  <c r="J34" i="4"/>
  <c r="K34" i="4"/>
  <c r="E36" i="4"/>
  <c r="D36" i="4" s="1"/>
  <c r="E35" i="4"/>
  <c r="D35" i="4" s="1"/>
  <c r="E34" i="4"/>
  <c r="D34" i="4" s="1"/>
  <c r="AA36" i="4" l="1"/>
  <c r="W36" i="4"/>
  <c r="AG36" i="4" s="1"/>
  <c r="AL36" i="4" s="1"/>
  <c r="AB35" i="4"/>
  <c r="AG35" i="4" s="1"/>
  <c r="AL35" i="4" s="1"/>
  <c r="AF36" i="4"/>
  <c r="AK36" i="4" s="1"/>
  <c r="X35" i="4"/>
  <c r="AH35" i="4" s="1"/>
  <c r="AM35" i="4" s="1"/>
  <c r="AC34" i="4"/>
  <c r="AH34" i="4" s="1"/>
  <c r="AM34" i="4" s="1"/>
  <c r="Y34" i="4"/>
  <c r="AI34" i="4" s="1"/>
  <c r="AN34" i="4" s="1"/>
  <c r="AE36" i="4"/>
  <c r="AJ36" i="4" s="1"/>
  <c r="AO36" i="4" s="1"/>
  <c r="AA35" i="4"/>
  <c r="AF35" i="4" s="1"/>
  <c r="AK35" i="4" s="1"/>
  <c r="AB34" i="4"/>
  <c r="AG34" i="4" s="1"/>
  <c r="AL34" i="4" s="1"/>
  <c r="AD36" i="4"/>
  <c r="AI36" i="4" s="1"/>
  <c r="AN36" i="4" s="1"/>
  <c r="AE35" i="4"/>
  <c r="AJ35" i="4" s="1"/>
  <c r="AO35" i="4" s="1"/>
  <c r="AA34" i="4"/>
  <c r="AF34" i="4" s="1"/>
  <c r="AK34" i="4" s="1"/>
  <c r="AC36" i="4"/>
  <c r="AH36" i="4" s="1"/>
  <c r="AM36" i="4" s="1"/>
  <c r="AD35" i="4"/>
  <c r="AI35" i="4" s="1"/>
  <c r="AN35" i="4" s="1"/>
  <c r="AE34" i="4"/>
  <c r="AJ34" i="4" s="1"/>
  <c r="AO34" i="4" s="1"/>
  <c r="T6" i="4"/>
  <c r="T7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6" i="4"/>
  <c r="R7" i="4"/>
  <c r="R8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6" i="4"/>
  <c r="Q7" i="4"/>
  <c r="Q8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6" i="4"/>
  <c r="V6" i="4" s="1"/>
  <c r="U7" i="4"/>
  <c r="U8" i="4"/>
  <c r="AE8" i="4" s="1"/>
  <c r="U9" i="4"/>
  <c r="Z9" i="4" s="1"/>
  <c r="U10" i="4"/>
  <c r="Z10" i="4" s="1"/>
  <c r="U11" i="4"/>
  <c r="U12" i="4"/>
  <c r="AE12" i="4" s="1"/>
  <c r="U13" i="4"/>
  <c r="Z13" i="4" s="1"/>
  <c r="U14" i="4"/>
  <c r="AE14" i="4" s="1"/>
  <c r="U15" i="4"/>
  <c r="U16" i="4"/>
  <c r="AE16" i="4" s="1"/>
  <c r="U17" i="4"/>
  <c r="AE17" i="4" s="1"/>
  <c r="U18" i="4"/>
  <c r="Z18" i="4" s="1"/>
  <c r="U19" i="4"/>
  <c r="U20" i="4"/>
  <c r="AE20" i="4" s="1"/>
  <c r="U21" i="4"/>
  <c r="Z21" i="4" s="1"/>
  <c r="U22" i="4"/>
  <c r="AE22" i="4" s="1"/>
  <c r="U23" i="4"/>
  <c r="U24" i="4"/>
  <c r="AE24" i="4" s="1"/>
  <c r="U25" i="4"/>
  <c r="AE25" i="4" s="1"/>
  <c r="U26" i="4"/>
  <c r="Z26" i="4" s="1"/>
  <c r="U27" i="4"/>
  <c r="U28" i="4"/>
  <c r="AE28" i="4" s="1"/>
  <c r="U29" i="4"/>
  <c r="AE29" i="4" s="1"/>
  <c r="U30" i="4"/>
  <c r="AE30" i="4" s="1"/>
  <c r="U31" i="4"/>
  <c r="U32" i="4"/>
  <c r="AE32" i="4" s="1"/>
  <c r="U33" i="4"/>
  <c r="Z33" i="4" s="1"/>
  <c r="U6" i="4"/>
  <c r="Z6" i="4" s="1"/>
  <c r="AE6" i="4" l="1"/>
  <c r="AE13" i="4"/>
  <c r="Z25" i="4"/>
  <c r="Z14" i="4"/>
  <c r="AE33" i="4"/>
  <c r="AE21" i="4"/>
  <c r="AE10" i="4"/>
  <c r="Z29" i="4"/>
  <c r="Z17" i="4"/>
  <c r="Z22" i="4"/>
  <c r="AE18" i="4"/>
  <c r="AE9" i="4"/>
  <c r="Z30" i="4"/>
  <c r="AE26" i="4"/>
  <c r="AE31" i="4"/>
  <c r="Z31" i="4"/>
  <c r="AE27" i="4"/>
  <c r="Z27" i="4"/>
  <c r="AE23" i="4"/>
  <c r="Z23" i="4"/>
  <c r="AE19" i="4"/>
  <c r="Z19" i="4"/>
  <c r="AE15" i="4"/>
  <c r="Z15" i="4"/>
  <c r="AE11" i="4"/>
  <c r="Z11" i="4"/>
  <c r="AE7" i="4"/>
  <c r="Z7" i="4"/>
  <c r="Z32" i="4"/>
  <c r="Z28" i="4"/>
  <c r="Z24" i="4"/>
  <c r="Z20" i="4"/>
  <c r="Z16" i="4"/>
  <c r="Z12" i="4"/>
  <c r="Z8" i="4"/>
  <c r="D12" i="4"/>
  <c r="E13" i="4"/>
  <c r="D13" i="4" s="1"/>
  <c r="E14" i="4"/>
  <c r="D14" i="4" s="1"/>
  <c r="E15" i="4"/>
  <c r="D15" i="4" s="1"/>
  <c r="E16" i="4"/>
  <c r="D16" i="4" s="1"/>
  <c r="AD11" i="4" l="1"/>
  <c r="AD12" i="4"/>
  <c r="AD13" i="4"/>
  <c r="AD14" i="4"/>
  <c r="AD15" i="4"/>
  <c r="AD16" i="4"/>
  <c r="AD17" i="4"/>
  <c r="AD18" i="4"/>
  <c r="AD19" i="4"/>
  <c r="AD21" i="4"/>
  <c r="Y11" i="4"/>
  <c r="Y12" i="4"/>
  <c r="Y13" i="4"/>
  <c r="Y14" i="4"/>
  <c r="Y15" i="4"/>
  <c r="Y16" i="4"/>
  <c r="Y17" i="4"/>
  <c r="Y18" i="4"/>
  <c r="Y19" i="4"/>
  <c r="Y21" i="4"/>
  <c r="AD7" i="4"/>
  <c r="T8" i="4"/>
  <c r="Y9" i="4"/>
  <c r="AA7" i="4"/>
  <c r="AA9" i="4"/>
  <c r="V11" i="4"/>
  <c r="AA12" i="4"/>
  <c r="V13" i="4"/>
  <c r="AA14" i="4"/>
  <c r="AA15" i="4"/>
  <c r="V16" i="4"/>
  <c r="V17" i="4"/>
  <c r="V18" i="4"/>
  <c r="AA19" i="4"/>
  <c r="AA20" i="4"/>
  <c r="AA21" i="4"/>
  <c r="AA22" i="4"/>
  <c r="V23" i="4"/>
  <c r="AA24" i="4"/>
  <c r="AA25" i="4"/>
  <c r="AA26" i="4"/>
  <c r="AA28" i="4"/>
  <c r="AA30" i="4"/>
  <c r="AA32" i="4"/>
  <c r="AC6" i="4"/>
  <c r="AA6" i="4"/>
  <c r="V9" i="4" l="1"/>
  <c r="AA31" i="4"/>
  <c r="V31" i="4"/>
  <c r="AA27" i="4"/>
  <c r="V27" i="4"/>
  <c r="AB30" i="4"/>
  <c r="W30" i="4"/>
  <c r="AB26" i="4"/>
  <c r="W26" i="4"/>
  <c r="AB22" i="4"/>
  <c r="W22" i="4"/>
  <c r="AB18" i="4"/>
  <c r="W18" i="4"/>
  <c r="AB14" i="4"/>
  <c r="W14" i="4"/>
  <c r="AB10" i="4"/>
  <c r="W10" i="4"/>
  <c r="AC33" i="4"/>
  <c r="X33" i="4"/>
  <c r="AC29" i="4"/>
  <c r="X29" i="4"/>
  <c r="AC25" i="4"/>
  <c r="X25" i="4"/>
  <c r="AC21" i="4"/>
  <c r="X21" i="4"/>
  <c r="AC17" i="4"/>
  <c r="X17" i="4"/>
  <c r="AC13" i="4"/>
  <c r="X13" i="4"/>
  <c r="AC9" i="4"/>
  <c r="X9" i="4"/>
  <c r="AD32" i="4"/>
  <c r="Y32" i="4"/>
  <c r="AD28" i="4"/>
  <c r="Y28" i="4"/>
  <c r="AD24" i="4"/>
  <c r="Y24" i="4"/>
  <c r="AD10" i="4"/>
  <c r="Y10" i="4"/>
  <c r="V26" i="4"/>
  <c r="W27" i="4"/>
  <c r="AB27" i="4"/>
  <c r="AB6" i="4"/>
  <c r="W6" i="4"/>
  <c r="AA8" i="4"/>
  <c r="V8" i="4"/>
  <c r="W31" i="4"/>
  <c r="AB31" i="4"/>
  <c r="W23" i="4"/>
  <c r="AB23" i="4"/>
  <c r="W19" i="4"/>
  <c r="AB19" i="4"/>
  <c r="W15" i="4"/>
  <c r="AB15" i="4"/>
  <c r="W11" i="4"/>
  <c r="AB11" i="4"/>
  <c r="W7" i="4"/>
  <c r="AB7" i="4"/>
  <c r="X30" i="4"/>
  <c r="AC30" i="4"/>
  <c r="X26" i="4"/>
  <c r="AC26" i="4"/>
  <c r="X22" i="4"/>
  <c r="AC22" i="4"/>
  <c r="X14" i="4"/>
  <c r="AC14" i="4"/>
  <c r="X10" i="4"/>
  <c r="AC10" i="4"/>
  <c r="Y33" i="4"/>
  <c r="AD33" i="4"/>
  <c r="Y29" i="4"/>
  <c r="AD29" i="4"/>
  <c r="Y25" i="4"/>
  <c r="AD25" i="4"/>
  <c r="AD20" i="4"/>
  <c r="Y20" i="4"/>
  <c r="V28" i="4"/>
  <c r="X6" i="4"/>
  <c r="AD6" i="4"/>
  <c r="Y6" i="4"/>
  <c r="AA10" i="4"/>
  <c r="V10" i="4"/>
  <c r="AB33" i="4"/>
  <c r="W33" i="4"/>
  <c r="AB29" i="4"/>
  <c r="W29" i="4"/>
  <c r="AB25" i="4"/>
  <c r="W25" i="4"/>
  <c r="AB21" i="4"/>
  <c r="W21" i="4"/>
  <c r="AB17" i="4"/>
  <c r="W17" i="4"/>
  <c r="AB13" i="4"/>
  <c r="W13" i="4"/>
  <c r="AB9" i="4"/>
  <c r="W9" i="4"/>
  <c r="AC32" i="4"/>
  <c r="X32" i="4"/>
  <c r="AC28" i="4"/>
  <c r="X28" i="4"/>
  <c r="AC24" i="4"/>
  <c r="X24" i="4"/>
  <c r="AC20" i="4"/>
  <c r="X20" i="4"/>
  <c r="AC16" i="4"/>
  <c r="X16" i="4"/>
  <c r="AC12" i="4"/>
  <c r="X12" i="4"/>
  <c r="AC8" i="4"/>
  <c r="X8" i="4"/>
  <c r="AD31" i="4"/>
  <c r="Y31" i="4"/>
  <c r="AD27" i="4"/>
  <c r="Y27" i="4"/>
  <c r="AD23" i="4"/>
  <c r="Y23" i="4"/>
  <c r="V32" i="4"/>
  <c r="AA33" i="4"/>
  <c r="V33" i="4"/>
  <c r="AA29" i="4"/>
  <c r="V29" i="4"/>
  <c r="AB32" i="4"/>
  <c r="W32" i="4"/>
  <c r="AB28" i="4"/>
  <c r="W28" i="4"/>
  <c r="AB24" i="4"/>
  <c r="W24" i="4"/>
  <c r="AB20" i="4"/>
  <c r="W20" i="4"/>
  <c r="AB16" i="4"/>
  <c r="W16" i="4"/>
  <c r="AB12" i="4"/>
  <c r="W12" i="4"/>
  <c r="AB8" i="4"/>
  <c r="W8" i="4"/>
  <c r="AC31" i="4"/>
  <c r="X31" i="4"/>
  <c r="AC27" i="4"/>
  <c r="X27" i="4"/>
  <c r="AC23" i="4"/>
  <c r="X23" i="4"/>
  <c r="AC19" i="4"/>
  <c r="X19" i="4"/>
  <c r="AC15" i="4"/>
  <c r="X15" i="4"/>
  <c r="AC11" i="4"/>
  <c r="X11" i="4"/>
  <c r="AC7" i="4"/>
  <c r="X7" i="4"/>
  <c r="AD30" i="4"/>
  <c r="Y30" i="4"/>
  <c r="AD26" i="4"/>
  <c r="Y26" i="4"/>
  <c r="AD22" i="4"/>
  <c r="Y22" i="4"/>
  <c r="AD8" i="4"/>
  <c r="Y8" i="4"/>
  <c r="V30" i="4"/>
  <c r="V7" i="4"/>
  <c r="X18" i="4"/>
  <c r="AC18" i="4"/>
  <c r="AD9" i="4"/>
  <c r="Y7" i="4"/>
  <c r="V14" i="4"/>
  <c r="AA17" i="4"/>
  <c r="AA18" i="4"/>
  <c r="V19" i="4"/>
  <c r="V24" i="4"/>
  <c r="V25" i="4"/>
  <c r="AA23" i="4"/>
  <c r="V22" i="4"/>
  <c r="V21" i="4"/>
  <c r="V20" i="4"/>
  <c r="AA16" i="4"/>
  <c r="V15" i="4"/>
  <c r="AA13" i="4"/>
  <c r="V12" i="4"/>
  <c r="AA11" i="4"/>
  <c r="K7" i="4" l="1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J7" i="4"/>
  <c r="AJ7" i="4" s="1"/>
  <c r="AO7" i="4" s="1"/>
  <c r="J8" i="4"/>
  <c r="J9" i="4"/>
  <c r="J10" i="4"/>
  <c r="J11" i="4"/>
  <c r="AJ11" i="4" s="1"/>
  <c r="AO11" i="4" s="1"/>
  <c r="J12" i="4"/>
  <c r="J13" i="4"/>
  <c r="J14" i="4"/>
  <c r="J15" i="4"/>
  <c r="AJ15" i="4" s="1"/>
  <c r="AO15" i="4" s="1"/>
  <c r="J16" i="4"/>
  <c r="J17" i="4"/>
  <c r="J18" i="4"/>
  <c r="J19" i="4"/>
  <c r="AJ19" i="4" s="1"/>
  <c r="AO19" i="4" s="1"/>
  <c r="J20" i="4"/>
  <c r="J21" i="4"/>
  <c r="J22" i="4"/>
  <c r="J23" i="4"/>
  <c r="AJ23" i="4" s="1"/>
  <c r="AO23" i="4" s="1"/>
  <c r="J24" i="4"/>
  <c r="J25" i="4"/>
  <c r="J26" i="4"/>
  <c r="J27" i="4"/>
  <c r="J28" i="4"/>
  <c r="J29" i="4"/>
  <c r="J30" i="4"/>
  <c r="J31" i="4"/>
  <c r="J32" i="4"/>
  <c r="J33" i="4"/>
  <c r="J6" i="4"/>
  <c r="K6" i="4"/>
  <c r="E18" i="4"/>
  <c r="D18" i="4" s="1"/>
  <c r="E19" i="4"/>
  <c r="D19" i="4" s="1"/>
  <c r="E20" i="4"/>
  <c r="D20" i="4" s="1"/>
  <c r="E21" i="4"/>
  <c r="D21" i="4" s="1"/>
  <c r="E22" i="4"/>
  <c r="D22" i="4" s="1"/>
  <c r="E23" i="4"/>
  <c r="D23" i="4" s="1"/>
  <c r="E24" i="4"/>
  <c r="D24" i="4" s="1"/>
  <c r="E25" i="4"/>
  <c r="D25" i="4" s="1"/>
  <c r="E26" i="4"/>
  <c r="D26" i="4" s="1"/>
  <c r="E27" i="4"/>
  <c r="D27" i="4" s="1"/>
  <c r="E28" i="4"/>
  <c r="D28" i="4" s="1"/>
  <c r="E29" i="4"/>
  <c r="D29" i="4" s="1"/>
  <c r="E30" i="4"/>
  <c r="D30" i="4" s="1"/>
  <c r="E31" i="4"/>
  <c r="D31" i="4" s="1"/>
  <c r="E32" i="4"/>
  <c r="D32" i="4" s="1"/>
  <c r="E33" i="4"/>
  <c r="D33" i="4" s="1"/>
  <c r="E17" i="4"/>
  <c r="D17" i="4" s="1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16" i="1"/>
  <c r="AJ32" i="4" l="1"/>
  <c r="AO32" i="4" s="1"/>
  <c r="AJ28" i="4"/>
  <c r="AO28" i="4" s="1"/>
  <c r="AJ24" i="4"/>
  <c r="AO24" i="4" s="1"/>
  <c r="AJ20" i="4"/>
  <c r="AO20" i="4" s="1"/>
  <c r="AJ16" i="4"/>
  <c r="AO16" i="4" s="1"/>
  <c r="AH31" i="4"/>
  <c r="AM31" i="4" s="1"/>
  <c r="AJ31" i="4"/>
  <c r="AO31" i="4" s="1"/>
  <c r="AI27" i="4"/>
  <c r="AN27" i="4" s="1"/>
  <c r="AJ27" i="4"/>
  <c r="AO27" i="4" s="1"/>
  <c r="AJ30" i="4"/>
  <c r="AO30" i="4" s="1"/>
  <c r="AJ22" i="4"/>
  <c r="AO22" i="4" s="1"/>
  <c r="AJ14" i="4"/>
  <c r="AO14" i="4" s="1"/>
  <c r="AJ33" i="4"/>
  <c r="AO33" i="4" s="1"/>
  <c r="AJ29" i="4"/>
  <c r="AO29" i="4" s="1"/>
  <c r="AJ25" i="4"/>
  <c r="AO25" i="4" s="1"/>
  <c r="AJ17" i="4"/>
  <c r="AO17" i="4" s="1"/>
  <c r="AJ13" i="4"/>
  <c r="AO13" i="4" s="1"/>
  <c r="AJ9" i="4"/>
  <c r="AO9" i="4" s="1"/>
  <c r="AF6" i="4"/>
  <c r="AK6" i="4" s="1"/>
  <c r="AJ6" i="4"/>
  <c r="AO6" i="4" s="1"/>
  <c r="AJ26" i="4"/>
  <c r="AO26" i="4" s="1"/>
  <c r="AJ18" i="4"/>
  <c r="AO18" i="4" s="1"/>
  <c r="AT18" i="4" s="1"/>
  <c r="AJ10" i="4"/>
  <c r="AO10" i="4" s="1"/>
  <c r="AI12" i="4"/>
  <c r="AN12" i="4" s="1"/>
  <c r="AJ12" i="4"/>
  <c r="AO12" i="4" s="1"/>
  <c r="AH8" i="4"/>
  <c r="AM8" i="4" s="1"/>
  <c r="AJ8" i="4"/>
  <c r="AO8" i="4" s="1"/>
  <c r="AJ21" i="4"/>
  <c r="AO21" i="4" s="1"/>
  <c r="AF7" i="4"/>
  <c r="AK7" i="4" s="1"/>
  <c r="AH33" i="4"/>
  <c r="AM33" i="4" s="1"/>
  <c r="AI32" i="4"/>
  <c r="AN32" i="4" s="1"/>
  <c r="AH30" i="4"/>
  <c r="AM30" i="4" s="1"/>
  <c r="AF29" i="4"/>
  <c r="AK29" i="4" s="1"/>
  <c r="AI28" i="4"/>
  <c r="AN28" i="4" s="1"/>
  <c r="AI26" i="4"/>
  <c r="AN26" i="4" s="1"/>
  <c r="AI25" i="4"/>
  <c r="AN25" i="4" s="1"/>
  <c r="AG24" i="4"/>
  <c r="AL24" i="4" s="1"/>
  <c r="AI23" i="4"/>
  <c r="AN23" i="4" s="1"/>
  <c r="AF22" i="4"/>
  <c r="AK22" i="4" s="1"/>
  <c r="AF21" i="4"/>
  <c r="AK21" i="4" s="1"/>
  <c r="AF20" i="4"/>
  <c r="AK20" i="4" s="1"/>
  <c r="AI18" i="4"/>
  <c r="AN18" i="4" s="1"/>
  <c r="AH17" i="4"/>
  <c r="AM17" i="4" s="1"/>
  <c r="AI16" i="4"/>
  <c r="AN16" i="4" s="1"/>
  <c r="AI14" i="4"/>
  <c r="AN14" i="4" s="1"/>
  <c r="AG10" i="4"/>
  <c r="AL10" i="4" s="1"/>
  <c r="AG9" i="4"/>
  <c r="AL9" i="4" s="1"/>
  <c r="AH7" i="4"/>
  <c r="AM7" i="4" s="1"/>
  <c r="AI19" i="4"/>
  <c r="AN19" i="4" s="1"/>
  <c r="AI15" i="4"/>
  <c r="AN15" i="4" s="1"/>
  <c r="AI11" i="4"/>
  <c r="AN11" i="4" s="1"/>
  <c r="AG27" i="4"/>
  <c r="AL27" i="4" s="1"/>
  <c r="AH26" i="4"/>
  <c r="AM26" i="4" s="1"/>
  <c r="AF28" i="4"/>
  <c r="AK28" i="4" s="1"/>
  <c r="AG16" i="4"/>
  <c r="AL16" i="4" s="1"/>
  <c r="AH11" i="4"/>
  <c r="AM11" i="4" s="1"/>
  <c r="AF17" i="4"/>
  <c r="AK17" i="4" s="1"/>
  <c r="AG30" i="4"/>
  <c r="AL30" i="4" s="1"/>
  <c r="AH25" i="4"/>
  <c r="AM25" i="4" s="1"/>
  <c r="AI10" i="4"/>
  <c r="AN10" i="4" s="1"/>
  <c r="AG29" i="4"/>
  <c r="AL29" i="4" s="1"/>
  <c r="AH24" i="4"/>
  <c r="AM24" i="4" s="1"/>
  <c r="AF32" i="4"/>
  <c r="AK32" i="4" s="1"/>
  <c r="AF23" i="4"/>
  <c r="AK23" i="4" s="1"/>
  <c r="AG31" i="4"/>
  <c r="AL31" i="4" s="1"/>
  <c r="AH22" i="4"/>
  <c r="AM22" i="4" s="1"/>
  <c r="AG28" i="4"/>
  <c r="AL28" i="4" s="1"/>
  <c r="AH23" i="4"/>
  <c r="AM23" i="4" s="1"/>
  <c r="AI8" i="4"/>
  <c r="AN8" i="4" s="1"/>
  <c r="AF27" i="4"/>
  <c r="AK27" i="4" s="1"/>
  <c r="AH29" i="4"/>
  <c r="AM29" i="4" s="1"/>
  <c r="AI24" i="4"/>
  <c r="AN24" i="4" s="1"/>
  <c r="AI6" i="4"/>
  <c r="AN6" i="4" s="1"/>
  <c r="AI31" i="4"/>
  <c r="AN31" i="4" s="1"/>
  <c r="AF24" i="4"/>
  <c r="AK24" i="4" s="1"/>
  <c r="AG23" i="4"/>
  <c r="AL23" i="4" s="1"/>
  <c r="AH14" i="4"/>
  <c r="AM14" i="4" s="1"/>
  <c r="AF33" i="4"/>
  <c r="AK33" i="4" s="1"/>
  <c r="AG8" i="4"/>
  <c r="AL8" i="4" s="1"/>
  <c r="AI30" i="4"/>
  <c r="AN30" i="4" s="1"/>
  <c r="AF25" i="4"/>
  <c r="AK25" i="4" s="1"/>
  <c r="AG22" i="4"/>
  <c r="AL22" i="4" s="1"/>
  <c r="AF8" i="4"/>
  <c r="AK8" i="4" s="1"/>
  <c r="AG21" i="4"/>
  <c r="AL21" i="4" s="1"/>
  <c r="AH16" i="4"/>
  <c r="AM16" i="4" s="1"/>
  <c r="AH18" i="4"/>
  <c r="AM18" i="4" s="1"/>
  <c r="AF16" i="4"/>
  <c r="AK16" i="4" s="1"/>
  <c r="AG19" i="4"/>
  <c r="AL19" i="4" s="1"/>
  <c r="AH10" i="4"/>
  <c r="AM10" i="4" s="1"/>
  <c r="AG20" i="4"/>
  <c r="AL20" i="4" s="1"/>
  <c r="AH15" i="4"/>
  <c r="AM15" i="4" s="1"/>
  <c r="AF19" i="4"/>
  <c r="AK19" i="4" s="1"/>
  <c r="AG26" i="4"/>
  <c r="AL26" i="4" s="1"/>
  <c r="AH21" i="4"/>
  <c r="AM21" i="4" s="1"/>
  <c r="AF26" i="4"/>
  <c r="AK26" i="4" s="1"/>
  <c r="AG33" i="4"/>
  <c r="AL33" i="4" s="1"/>
  <c r="AH28" i="4"/>
  <c r="AM28" i="4" s="1"/>
  <c r="AI21" i="4"/>
  <c r="AN21" i="4" s="1"/>
  <c r="AI17" i="4"/>
  <c r="AN17" i="4" s="1"/>
  <c r="AI13" i="4"/>
  <c r="AN13" i="4" s="1"/>
  <c r="AI9" i="4"/>
  <c r="AN9" i="4" s="1"/>
  <c r="AF9" i="4"/>
  <c r="AK9" i="4" s="1"/>
  <c r="AG15" i="4"/>
  <c r="AL15" i="4" s="1"/>
  <c r="AI33" i="4"/>
  <c r="AN33" i="4" s="1"/>
  <c r="AG32" i="4"/>
  <c r="AL32" i="4" s="1"/>
  <c r="AH27" i="4"/>
  <c r="AM27" i="4" s="1"/>
  <c r="AI22" i="4"/>
  <c r="AN22" i="4" s="1"/>
  <c r="AF12" i="4"/>
  <c r="AK12" i="4" s="1"/>
  <c r="AG14" i="4"/>
  <c r="AL14" i="4" s="1"/>
  <c r="AH9" i="4"/>
  <c r="AM9" i="4" s="1"/>
  <c r="AH6" i="4"/>
  <c r="AM6" i="4" s="1"/>
  <c r="AG13" i="4"/>
  <c r="AL13" i="4" s="1"/>
  <c r="AI7" i="4"/>
  <c r="AN7" i="4" s="1"/>
  <c r="AX9" i="4" s="1"/>
  <c r="AF11" i="4"/>
  <c r="AK11" i="4" s="1"/>
  <c r="AG11" i="4"/>
  <c r="AL11" i="4" s="1"/>
  <c r="AI29" i="4"/>
  <c r="AN29" i="4" s="1"/>
  <c r="AG12" i="4"/>
  <c r="AL12" i="4" s="1"/>
  <c r="AG18" i="4"/>
  <c r="AL18" i="4" s="1"/>
  <c r="AQ18" i="4" s="1"/>
  <c r="AV18" i="4" s="1"/>
  <c r="AH13" i="4"/>
  <c r="AM13" i="4" s="1"/>
  <c r="AG6" i="4"/>
  <c r="AL6" i="4" s="1"/>
  <c r="AG25" i="4"/>
  <c r="AL25" i="4" s="1"/>
  <c r="AH20" i="4"/>
  <c r="AM20" i="4" s="1"/>
  <c r="AF30" i="4"/>
  <c r="AK30" i="4" s="1"/>
  <c r="AF13" i="4"/>
  <c r="AK13" i="4" s="1"/>
  <c r="AG7" i="4"/>
  <c r="AL7" i="4" s="1"/>
  <c r="AH19" i="4"/>
  <c r="AM19" i="4" s="1"/>
  <c r="AF31" i="4"/>
  <c r="AK31" i="4" s="1"/>
  <c r="AF10" i="4"/>
  <c r="AK10" i="4" s="1"/>
  <c r="AH32" i="4"/>
  <c r="AM32" i="4" s="1"/>
  <c r="AF18" i="4"/>
  <c r="AK18" i="4" s="1"/>
  <c r="AF15" i="4"/>
  <c r="AK15" i="4" s="1"/>
  <c r="AI20" i="4"/>
  <c r="AN20" i="4" s="1"/>
  <c r="AG17" i="4"/>
  <c r="AL17" i="4" s="1"/>
  <c r="AH12" i="4"/>
  <c r="AM12" i="4" s="1"/>
  <c r="AF14" i="4"/>
  <c r="AK14" i="4" s="1"/>
  <c r="AS18" i="4" l="1"/>
  <c r="AX18" i="4" s="1"/>
  <c r="AX14" i="4" s="1"/>
  <c r="AX12" i="4"/>
  <c r="AX16" i="4"/>
  <c r="AX17" i="4"/>
  <c r="AX13" i="4"/>
  <c r="AR18" i="4"/>
  <c r="AY18" i="4"/>
  <c r="AP36" i="4"/>
  <c r="AU36" i="4" s="1"/>
  <c r="AP35" i="4"/>
  <c r="AP34" i="4"/>
  <c r="AT36" i="4"/>
  <c r="AT35" i="4"/>
  <c r="AT34" i="4"/>
  <c r="AS34" i="4"/>
  <c r="AS35" i="4"/>
  <c r="AS36" i="4"/>
  <c r="AX36" i="4" s="1"/>
  <c r="AT13" i="4"/>
  <c r="AT16" i="4"/>
  <c r="AT17" i="4"/>
  <c r="AT14" i="4"/>
  <c r="AT15" i="4"/>
  <c r="AR35" i="4"/>
  <c r="AR34" i="4"/>
  <c r="AR36" i="4"/>
  <c r="AQ35" i="4"/>
  <c r="AQ34" i="4"/>
  <c r="AQ36" i="4"/>
  <c r="AV36" i="4" s="1"/>
  <c r="AT32" i="4"/>
  <c r="AT19" i="4"/>
  <c r="AT20" i="4"/>
  <c r="AT12" i="4"/>
  <c r="AT21" i="4"/>
  <c r="AT28" i="4"/>
  <c r="AT26" i="4"/>
  <c r="AT23" i="4"/>
  <c r="AT25" i="4"/>
  <c r="AT22" i="4"/>
  <c r="AT27" i="4"/>
  <c r="AT24" i="4"/>
  <c r="AR16" i="4"/>
  <c r="AR32" i="4"/>
  <c r="AR28" i="4"/>
  <c r="AR26" i="4"/>
  <c r="AR23" i="4"/>
  <c r="AR13" i="4"/>
  <c r="AW9" i="4"/>
  <c r="AR15" i="4"/>
  <c r="AR29" i="4"/>
  <c r="AR25" i="4"/>
  <c r="AR17" i="4"/>
  <c r="AY9" i="4"/>
  <c r="AT29" i="4"/>
  <c r="AT30" i="4"/>
  <c r="AT31" i="4"/>
  <c r="AR14" i="4"/>
  <c r="AR30" i="4"/>
  <c r="AR12" i="4"/>
  <c r="AR19" i="4"/>
  <c r="AR20" i="4"/>
  <c r="AR27" i="4"/>
  <c r="AR21" i="4"/>
  <c r="AR22" i="4"/>
  <c r="AR24" i="4"/>
  <c r="AR33" i="4"/>
  <c r="AT33" i="4"/>
  <c r="AR31" i="4"/>
  <c r="AV9" i="4"/>
  <c r="AU9" i="4"/>
  <c r="AS15" i="4"/>
  <c r="AS19" i="4"/>
  <c r="AS23" i="4"/>
  <c r="AS27" i="4"/>
  <c r="AS31" i="4"/>
  <c r="AS13" i="4"/>
  <c r="AS26" i="4"/>
  <c r="AS16" i="4"/>
  <c r="AS20" i="4"/>
  <c r="AS24" i="4"/>
  <c r="AS28" i="4"/>
  <c r="AS32" i="4"/>
  <c r="AS14" i="4"/>
  <c r="AS22" i="4"/>
  <c r="AS12" i="4"/>
  <c r="AS17" i="4"/>
  <c r="AS21" i="4"/>
  <c r="AS25" i="4"/>
  <c r="AX25" i="4" s="1"/>
  <c r="AX20" i="4" s="1"/>
  <c r="AS29" i="4"/>
  <c r="AX29" i="4" s="1"/>
  <c r="AS33" i="4"/>
  <c r="AX33" i="4" s="1"/>
  <c r="AS30" i="4"/>
  <c r="AQ15" i="4"/>
  <c r="AQ19" i="4"/>
  <c r="AQ23" i="4"/>
  <c r="AQ27" i="4"/>
  <c r="AQ31" i="4"/>
  <c r="AQ13" i="4"/>
  <c r="AQ26" i="4"/>
  <c r="AQ16" i="4"/>
  <c r="AQ20" i="4"/>
  <c r="AQ24" i="4"/>
  <c r="AQ28" i="4"/>
  <c r="AQ32" i="4"/>
  <c r="AQ14" i="4"/>
  <c r="AQ30" i="4"/>
  <c r="AQ17" i="4"/>
  <c r="AQ21" i="4"/>
  <c r="AQ25" i="4"/>
  <c r="AV25" i="4" s="1"/>
  <c r="AV23" i="4" s="1"/>
  <c r="AQ29" i="4"/>
  <c r="AV29" i="4" s="1"/>
  <c r="AQ33" i="4"/>
  <c r="AV33" i="4" s="1"/>
  <c r="AQ22" i="4"/>
  <c r="AQ12" i="4"/>
  <c r="AP14" i="4"/>
  <c r="AP12" i="4"/>
  <c r="AP13" i="4"/>
  <c r="AP15" i="4"/>
  <c r="AP31" i="4"/>
  <c r="AP29" i="4"/>
  <c r="AU29" i="4" s="1"/>
  <c r="AP30" i="4"/>
  <c r="AP26" i="4"/>
  <c r="AP16" i="4"/>
  <c r="AP23" i="4"/>
  <c r="AP20" i="4"/>
  <c r="AP18" i="4"/>
  <c r="AU18" i="4" s="1"/>
  <c r="AP33" i="4"/>
  <c r="AU33" i="4" s="1"/>
  <c r="AP24" i="4"/>
  <c r="AP32" i="4"/>
  <c r="AP21" i="4"/>
  <c r="AP22" i="4"/>
  <c r="AP25" i="4"/>
  <c r="AU25" i="4" s="1"/>
  <c r="AP27" i="4"/>
  <c r="AP28" i="4"/>
  <c r="AP19" i="4"/>
  <c r="AP17" i="4"/>
  <c r="BC12" i="4" l="1"/>
  <c r="AV21" i="4"/>
  <c r="AX15" i="4"/>
  <c r="AX32" i="4"/>
  <c r="AX30" i="4"/>
  <c r="AX31" i="4"/>
  <c r="AX26" i="4"/>
  <c r="AX28" i="4"/>
  <c r="AX27" i="4"/>
  <c r="AX19" i="4"/>
  <c r="AX22" i="4"/>
  <c r="AX21" i="4"/>
  <c r="AX24" i="4"/>
  <c r="AX23" i="4"/>
  <c r="AW17" i="4"/>
  <c r="BB17" i="4" s="1"/>
  <c r="AW15" i="4"/>
  <c r="BB15" i="4" s="1"/>
  <c r="AW25" i="4"/>
  <c r="AW33" i="4"/>
  <c r="BB33" i="4" s="1"/>
  <c r="AW29" i="4"/>
  <c r="AW36" i="4"/>
  <c r="BB36" i="4" s="1"/>
  <c r="AW18" i="4"/>
  <c r="BB18" i="4"/>
  <c r="AV13" i="4"/>
  <c r="AV17" i="4"/>
  <c r="AV16" i="4"/>
  <c r="BA16" i="4" s="1"/>
  <c r="AV14" i="4"/>
  <c r="AV12" i="4"/>
  <c r="AV15" i="4"/>
  <c r="AV28" i="4"/>
  <c r="AV27" i="4"/>
  <c r="AV26" i="4"/>
  <c r="AV22" i="4"/>
  <c r="AV24" i="4"/>
  <c r="AV31" i="4"/>
  <c r="BA31" i="4" s="1"/>
  <c r="AV32" i="4"/>
  <c r="BA32" i="4" s="1"/>
  <c r="AV30" i="4"/>
  <c r="AV19" i="4"/>
  <c r="AV20" i="4"/>
  <c r="AU13" i="4"/>
  <c r="AU20" i="4"/>
  <c r="AU24" i="4"/>
  <c r="AU21" i="4"/>
  <c r="AU19" i="4"/>
  <c r="AU22" i="4"/>
  <c r="AU23" i="4"/>
  <c r="AU32" i="4"/>
  <c r="AU30" i="4"/>
  <c r="AU31" i="4"/>
  <c r="AU17" i="4"/>
  <c r="AU15" i="4"/>
  <c r="AU16" i="4"/>
  <c r="AU12" i="4"/>
  <c r="AU14" i="4"/>
  <c r="AU28" i="4"/>
  <c r="AU26" i="4"/>
  <c r="AU27" i="4"/>
  <c r="AY29" i="4"/>
  <c r="BD29" i="4" s="1"/>
  <c r="AY25" i="4"/>
  <c r="AY19" i="4" s="1"/>
  <c r="BD19" i="4" s="1"/>
  <c r="AY36" i="4"/>
  <c r="BD36" i="4" s="1"/>
  <c r="AY21" i="4"/>
  <c r="BD21" i="4" s="1"/>
  <c r="AY33" i="4"/>
  <c r="BD18" i="4"/>
  <c r="AX35" i="4"/>
  <c r="BC35" i="4" s="1"/>
  <c r="BA36" i="4"/>
  <c r="BA26" i="4"/>
  <c r="BA23" i="4"/>
  <c r="BA24" i="4"/>
  <c r="BA25" i="4"/>
  <c r="BA29" i="4"/>
  <c r="BA28" i="4"/>
  <c r="BA30" i="4"/>
  <c r="BA27" i="4"/>
  <c r="BA33" i="4"/>
  <c r="AW35" i="4" l="1"/>
  <c r="BB35" i="4" s="1"/>
  <c r="AY20" i="4"/>
  <c r="BD20" i="4" s="1"/>
  <c r="AY23" i="4"/>
  <c r="BD23" i="4" s="1"/>
  <c r="AW20" i="4"/>
  <c r="BB20" i="4" s="1"/>
  <c r="AW24" i="4"/>
  <c r="BB24" i="4" s="1"/>
  <c r="AW21" i="4"/>
  <c r="BB21" i="4" s="1"/>
  <c r="AW19" i="4"/>
  <c r="BB19" i="4" s="1"/>
  <c r="AW22" i="4"/>
  <c r="BB22" i="4" s="1"/>
  <c r="AW23" i="4"/>
  <c r="BB23" i="4" s="1"/>
  <c r="AW12" i="4"/>
  <c r="BB12" i="4" s="1"/>
  <c r="AW13" i="4"/>
  <c r="BB13" i="4" s="1"/>
  <c r="AW30" i="4"/>
  <c r="BB30" i="4" s="1"/>
  <c r="AW31" i="4"/>
  <c r="BB31" i="4" s="1"/>
  <c r="AW32" i="4"/>
  <c r="BB32" i="4" s="1"/>
  <c r="AW28" i="4"/>
  <c r="BB28" i="4" s="1"/>
  <c r="AW26" i="4"/>
  <c r="BB26" i="4" s="1"/>
  <c r="AW27" i="4"/>
  <c r="BB27" i="4" s="1"/>
  <c r="AW14" i="4"/>
  <c r="BB14" i="4" s="1"/>
  <c r="AW34" i="4"/>
  <c r="BB34" i="4" s="1"/>
  <c r="BB29" i="4"/>
  <c r="BB25" i="4"/>
  <c r="AW16" i="4"/>
  <c r="BB16" i="4" s="1"/>
  <c r="AY34" i="4"/>
  <c r="BD34" i="4" s="1"/>
  <c r="AY35" i="4"/>
  <c r="BD35" i="4" s="1"/>
  <c r="AY26" i="4"/>
  <c r="BD26" i="4" s="1"/>
  <c r="AY27" i="4"/>
  <c r="BD27" i="4" s="1"/>
  <c r="AY28" i="4"/>
  <c r="BD28" i="4" s="1"/>
  <c r="BD33" i="4"/>
  <c r="BD25" i="4"/>
  <c r="AY22" i="4"/>
  <c r="BD22" i="4" s="1"/>
  <c r="AY24" i="4"/>
  <c r="BD24" i="4" s="1"/>
  <c r="AY31" i="4"/>
  <c r="BD31" i="4" s="1"/>
  <c r="AY32" i="4"/>
  <c r="BD32" i="4" s="1"/>
  <c r="BC36" i="4"/>
  <c r="AX34" i="4"/>
  <c r="BC34" i="4" s="1"/>
  <c r="AV35" i="4"/>
  <c r="BA35" i="4" s="1"/>
  <c r="AV34" i="4"/>
  <c r="BA34" i="4" s="1"/>
  <c r="BC13" i="4"/>
  <c r="BA15" i="4"/>
  <c r="BC16" i="4"/>
  <c r="BA14" i="4"/>
  <c r="BA13" i="4"/>
  <c r="BA12" i="4"/>
  <c r="BC29" i="4"/>
  <c r="BC15" i="4"/>
  <c r="BA21" i="4"/>
  <c r="BA19" i="4"/>
  <c r="BA17" i="4"/>
  <c r="BA18" i="4"/>
  <c r="BA22" i="4"/>
  <c r="BA20" i="4"/>
  <c r="BC20" i="4"/>
  <c r="BC21" i="4"/>
  <c r="BC19" i="4"/>
  <c r="BC18" i="4"/>
  <c r="BC22" i="4"/>
  <c r="BC17" i="4"/>
  <c r="BC14" i="4"/>
  <c r="BC26" i="4"/>
  <c r="BC32" i="4"/>
  <c r="BC24" i="4"/>
  <c r="BC25" i="4"/>
  <c r="BC27" i="4"/>
  <c r="BC23" i="4"/>
  <c r="BC28" i="4"/>
  <c r="BC33" i="4"/>
  <c r="BC31" i="4"/>
  <c r="BC30" i="4"/>
  <c r="AZ33" i="4" l="1"/>
  <c r="AZ24" i="4"/>
  <c r="AZ23" i="4"/>
  <c r="AZ29" i="4"/>
  <c r="AZ25" i="4"/>
  <c r="AZ20" i="4"/>
  <c r="AZ19" i="4"/>
  <c r="AZ12" i="4"/>
  <c r="AZ18" i="4"/>
  <c r="AZ13" i="4"/>
  <c r="AZ15" i="4"/>
  <c r="AZ14" i="4"/>
  <c r="AZ21" i="4"/>
  <c r="AZ17" i="4"/>
  <c r="AZ22" i="4" l="1"/>
  <c r="AZ16" i="4"/>
  <c r="AZ36" i="4"/>
  <c r="AU35" i="4"/>
  <c r="AZ35" i="4" s="1"/>
  <c r="AU34" i="4"/>
  <c r="AZ34" i="4" s="1"/>
  <c r="AY13" i="4" l="1"/>
  <c r="BD13" i="4" s="1"/>
  <c r="AY16" i="4"/>
  <c r="BD16" i="4" s="1"/>
  <c r="AY12" i="4"/>
  <c r="BD12" i="4" s="1"/>
  <c r="AY17" i="4"/>
  <c r="BD17" i="4" s="1"/>
  <c r="AY15" i="4"/>
  <c r="BD15" i="4" s="1"/>
  <c r="AY14" i="4"/>
  <c r="BD14" i="4" s="1"/>
  <c r="AZ26" i="4"/>
  <c r="AZ27" i="4"/>
  <c r="AZ28" i="4"/>
  <c r="AZ30" i="4"/>
  <c r="AZ32" i="4"/>
  <c r="AZ31" i="4"/>
  <c r="AY30" i="4"/>
  <c r="BD30" i="4" s="1"/>
</calcChain>
</file>

<file path=xl/sharedStrings.xml><?xml version="1.0" encoding="utf-8"?>
<sst xmlns="http://schemas.openxmlformats.org/spreadsheetml/2006/main" count="503" uniqueCount="135">
  <si>
    <t>Vial 29.gcd</t>
  </si>
  <si>
    <t>-----</t>
  </si>
  <si>
    <t>Vial 30.gcd</t>
  </si>
  <si>
    <t>Vial 31.gcd</t>
  </si>
  <si>
    <t>Vial 32.gcd</t>
  </si>
  <si>
    <t>Vial 33.gcd</t>
  </si>
  <si>
    <t>Vial 34.gcd</t>
  </si>
  <si>
    <t>Vial 35.gcd</t>
  </si>
  <si>
    <t>Vial 36.gcd</t>
  </si>
  <si>
    <t>Vial 37.gcd</t>
  </si>
  <si>
    <t>Vial 38.gcd</t>
  </si>
  <si>
    <t>Vial 39.gcd</t>
  </si>
  <si>
    <t>Vial 40.gcd</t>
  </si>
  <si>
    <t>Vial 41.gcd</t>
  </si>
  <si>
    <t>Vial 42.gcd</t>
  </si>
  <si>
    <t>Vial 43.gcd</t>
  </si>
  <si>
    <t>Vial 44.gcd</t>
  </si>
  <si>
    <t>Vial 45.gcd</t>
  </si>
  <si>
    <t>Vial 46.gcd</t>
  </si>
  <si>
    <t>Vial 47.gcd</t>
  </si>
  <si>
    <t>Vial 48.gcd</t>
  </si>
  <si>
    <t>Vial 49.gcd</t>
  </si>
  <si>
    <t>Vial 50.gcd</t>
  </si>
  <si>
    <t>Vial 51.gcd</t>
  </si>
  <si>
    <t>Vial 52.gcd</t>
  </si>
  <si>
    <t>Vial 53.gcd</t>
  </si>
  <si>
    <t>Vial 54.gcd</t>
  </si>
  <si>
    <t>Vial 55.gcd</t>
  </si>
  <si>
    <t>Vial 56.gcd</t>
  </si>
  <si>
    <t>Vial 57.gcd</t>
  </si>
  <si>
    <t>Vial 58.gcd</t>
  </si>
  <si>
    <t>Vial 59.gcd</t>
  </si>
  <si>
    <t>Vial 60.gcd</t>
  </si>
  <si>
    <t>Data Filename</t>
  </si>
  <si>
    <t>Area</t>
  </si>
  <si>
    <t>Ethane</t>
  </si>
  <si>
    <t>SF6</t>
  </si>
  <si>
    <t>N2O</t>
  </si>
  <si>
    <t>Helium</t>
  </si>
  <si>
    <t>Description</t>
  </si>
  <si>
    <t>Tracer Sol 1</t>
  </si>
  <si>
    <t>Tracer Sol 2</t>
  </si>
  <si>
    <t>Tracer Sol 3</t>
  </si>
  <si>
    <t>Tracer Sol 4</t>
  </si>
  <si>
    <t>Tracer Sol 5</t>
  </si>
  <si>
    <t>Tracer Sol 6</t>
  </si>
  <si>
    <t>Tracer Sol 7</t>
  </si>
  <si>
    <t>Tracer Sol 8</t>
  </si>
  <si>
    <t>Port 2D</t>
  </si>
  <si>
    <t>Port 1C</t>
  </si>
  <si>
    <t>Port 3B</t>
  </si>
  <si>
    <t>Eff 3 T1</t>
  </si>
  <si>
    <t>Eff 3 T2</t>
  </si>
  <si>
    <t>Eff 3 T3</t>
  </si>
  <si>
    <t>Eff 3 T4</t>
  </si>
  <si>
    <t>Eff 3 T5</t>
  </si>
  <si>
    <t>Eff 3 T6</t>
  </si>
  <si>
    <t>Eff 3 T7</t>
  </si>
  <si>
    <t>Port 2C</t>
  </si>
  <si>
    <t>Eff 3 T8</t>
  </si>
  <si>
    <t>Eff 3 T9</t>
  </si>
  <si>
    <t>Eff 3 T10</t>
  </si>
  <si>
    <t>Eff 3 T11</t>
  </si>
  <si>
    <t>Eff 3 T12</t>
  </si>
  <si>
    <t>Eff 3 T13</t>
  </si>
  <si>
    <t>Eff 3 T14</t>
  </si>
  <si>
    <t>Eff 3 T15</t>
  </si>
  <si>
    <t>Eff 3 T16</t>
  </si>
  <si>
    <t>Eff 3 T17</t>
  </si>
  <si>
    <t>Time</t>
  </si>
  <si>
    <t>Timepoint</t>
  </si>
  <si>
    <t>Timepoint (min)</t>
  </si>
  <si>
    <t>Peak Areas</t>
  </si>
  <si>
    <t>Empty Vial (g)</t>
  </si>
  <si>
    <t>Vial &amp; Sample (g)</t>
  </si>
  <si>
    <t>Vial &amp; Displaced Sample (g)</t>
  </si>
  <si>
    <t>Headspace Volume (mL)</t>
  </si>
  <si>
    <t>Aqueous Volume (mL)</t>
  </si>
  <si>
    <t>Nitrous Oxide</t>
  </si>
  <si>
    <t>Sulfur Hexafluoride</t>
  </si>
  <si>
    <t>Headspace Gas Concentration (mg/L) [Assuming headspace is N2]</t>
  </si>
  <si>
    <t>Partitioned Aqueous Concentrations (mg/L) [Henry's Law Gas Conversion Sheet]</t>
  </si>
  <si>
    <t>Total Mass in Vial (mg)</t>
  </si>
  <si>
    <t>Initial Concentration Prior to Equilibrium (mg/L)</t>
  </si>
  <si>
    <t>Zeroed Concentrations (mg/L)</t>
  </si>
  <si>
    <t>Corrected Tracer Solution (mg/L)</t>
  </si>
  <si>
    <t>Normalized Concentrations</t>
  </si>
  <si>
    <t>Bromide</t>
  </si>
  <si>
    <t>Normalized C/C0</t>
  </si>
  <si>
    <t>Vial 1.gcd</t>
  </si>
  <si>
    <t>Vial 2.gcd</t>
  </si>
  <si>
    <t>Vial 3.gcd</t>
  </si>
  <si>
    <t>Vial 4.gcd</t>
  </si>
  <si>
    <t>Vial 5.gcd</t>
  </si>
  <si>
    <t>Vial 6.gcd</t>
  </si>
  <si>
    <t>Vial 7.gcd</t>
  </si>
  <si>
    <t>Vial 8.gcd</t>
  </si>
  <si>
    <t>Vial 9.gcd</t>
  </si>
  <si>
    <t>Vial 10.gcd</t>
  </si>
  <si>
    <t>Vial 11.gcd</t>
  </si>
  <si>
    <t>Vial 12.gcd</t>
  </si>
  <si>
    <t>Vial 13.gcd</t>
  </si>
  <si>
    <t>Vial 14.gcd</t>
  </si>
  <si>
    <t>Vial 15.gcd</t>
  </si>
  <si>
    <t>Vial 16.gcd</t>
  </si>
  <si>
    <t>Vial 17.gcd</t>
  </si>
  <si>
    <t>Vial 18.gcd</t>
  </si>
  <si>
    <t>Vial 19.gcd</t>
  </si>
  <si>
    <t>Vial 20.gcd</t>
  </si>
  <si>
    <t>Vial 21.gcd</t>
  </si>
  <si>
    <t>Vial 22.gcd</t>
  </si>
  <si>
    <t>Vial 23.gcd</t>
  </si>
  <si>
    <t>Vial 24.gcd</t>
  </si>
  <si>
    <t>Vial 25.gcd</t>
  </si>
  <si>
    <t>Vial 26.gcd</t>
  </si>
  <si>
    <t>Vial 27.gcd</t>
  </si>
  <si>
    <t>Vial 28.gcd</t>
  </si>
  <si>
    <t>Eff 3</t>
  </si>
  <si>
    <t>Methane</t>
  </si>
  <si>
    <t>Concentration [ppmv] (From Sanam Cal Curves) and Dec 19, 2017</t>
  </si>
  <si>
    <t>Port 3C</t>
  </si>
  <si>
    <t>T Test B1</t>
  </si>
  <si>
    <t>T Test B2</t>
  </si>
  <si>
    <t>T Test B3</t>
  </si>
  <si>
    <t>T Test B4</t>
  </si>
  <si>
    <t>T Test B5</t>
  </si>
  <si>
    <t>T Test B6</t>
  </si>
  <si>
    <t>T Test B7</t>
  </si>
  <si>
    <t>T Test B8</t>
  </si>
  <si>
    <t>T Test B9</t>
  </si>
  <si>
    <t>T Test B10</t>
  </si>
  <si>
    <t>T Test B11</t>
  </si>
  <si>
    <t>T Test B12</t>
  </si>
  <si>
    <t>Port 2E</t>
  </si>
  <si>
    <t>Port 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</si>
</sst>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3" fontId="0" fillId="0" borderId="0" xfId="0" applyNumberFormat="1"/>
    <xf numFmtId="20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1" fontId="0" fillId="3" borderId="0" xfId="0" applyNumberFormat="1" applyFill="1" applyAlignment="1">
      <alignment horizontal="center"/>
    </xf>
    <xf numFmtId="20" fontId="0" fillId="3" borderId="0" xfId="0" applyNumberFormat="1" applyFill="1" applyAlignment="1">
      <alignment horizontal="center"/>
    </xf>
    <xf numFmtId="0" fontId="0" fillId="3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20" fontId="0" fillId="0" borderId="0" xfId="0" applyNumberForma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3" borderId="0" xfId="0" applyFill="1" applyAlignment="1">
      <alignment horizontal="left"/>
    </xf>
    <xf numFmtId="0" fontId="0" fillId="0" borderId="0" xfId="0"/>
    <xf numFmtId="3" fontId="0" fillId="0" borderId="0" xfId="0" applyNumberFormat="1"/>
    <xf numFmtId="0" fontId="0" fillId="0" borderId="0" xfId="0" applyFill="1" applyAlignment="1">
      <alignment horizontal="center"/>
    </xf>
    <xf numFmtId="3" fontId="0" fillId="3" borderId="0" xfId="0" applyNumberFormat="1" applyFill="1"/>
    <xf numFmtId="0" fontId="0" fillId="4" borderId="0" xfId="0" applyFill="1"/>
    <xf numFmtId="0" fontId="0" fillId="4" borderId="0" xfId="0" applyFill="1" applyAlignment="1">
      <alignment horizontal="center"/>
    </xf>
    <xf numFmtId="1" fontId="0" fillId="4" borderId="0" xfId="0" applyNumberFormat="1" applyFill="1" applyAlignment="1">
      <alignment horizontal="center"/>
    </xf>
    <xf numFmtId="20" fontId="0" fillId="4" borderId="0" xfId="0" applyNumberFormat="1" applyFill="1" applyAlignment="1">
      <alignment horizontal="center"/>
    </xf>
    <xf numFmtId="0" fontId="0" fillId="4" borderId="0" xfId="0" applyNumberFormat="1" applyFill="1" applyAlignment="1">
      <alignment horizontal="center"/>
    </xf>
    <xf numFmtId="3" fontId="0" fillId="4" borderId="0" xfId="0" applyNumberFormat="1" applyFill="1"/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Ethane</c:v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('Aqueous Samples'!$D$12:$D$17,'Aqueous Samples'!$D$19:$D$24,'Aqueous Samples'!$D$26:$D$28,'Aqueous Samples'!$D$30:$D$32,'Aqueous Samples'!$D$34:$D$35)</c:f>
              <c:numCache>
                <c:formatCode>0</c:formatCode>
                <c:ptCount val="20"/>
                <c:pt idx="0">
                  <c:v>20.000000000000007</c:v>
                </c:pt>
                <c:pt idx="1">
                  <c:v>41.000000000000014</c:v>
                </c:pt>
                <c:pt idx="2">
                  <c:v>61.999999999999943</c:v>
                </c:pt>
                <c:pt idx="3">
                  <c:v>82.999999999999943</c:v>
                </c:pt>
                <c:pt idx="4">
                  <c:v>100.99999999999996</c:v>
                </c:pt>
                <c:pt idx="5">
                  <c:v>127.99999999999994</c:v>
                </c:pt>
                <c:pt idx="6">
                  <c:v>156</c:v>
                </c:pt>
                <c:pt idx="7">
                  <c:v>183.00000000000006</c:v>
                </c:pt>
                <c:pt idx="8">
                  <c:v>198.00000000000003</c:v>
                </c:pt>
                <c:pt idx="9">
                  <c:v>216.99999999999994</c:v>
                </c:pt>
                <c:pt idx="10">
                  <c:v>251.99999999999997</c:v>
                </c:pt>
                <c:pt idx="11">
                  <c:v>287</c:v>
                </c:pt>
                <c:pt idx="12">
                  <c:v>314.00000000000006</c:v>
                </c:pt>
                <c:pt idx="13">
                  <c:v>353.99999999999994</c:v>
                </c:pt>
                <c:pt idx="14">
                  <c:v>399.99999999999994</c:v>
                </c:pt>
                <c:pt idx="15">
                  <c:v>459.00000000000006</c:v>
                </c:pt>
                <c:pt idx="16">
                  <c:v>519</c:v>
                </c:pt>
                <c:pt idx="17">
                  <c:v>581.00000000000011</c:v>
                </c:pt>
                <c:pt idx="18">
                  <c:v>645</c:v>
                </c:pt>
                <c:pt idx="19">
                  <c:v>722</c:v>
                </c:pt>
              </c:numCache>
            </c:numRef>
          </c:xVal>
          <c:yVal>
            <c:numRef>
              <c:f>('Aqueous Samples'!$AZ$12:$AZ$17,'Aqueous Samples'!$AZ$19:$AZ$24,'Aqueous Samples'!$AZ$26:$AZ$28,'Aqueous Samples'!$AZ$30:$AZ$32,'Aqueous Samples'!$AZ$34:$AZ$35)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0.25528235597568832</c:v>
                </c:pt>
                <c:pt idx="5">
                  <c:v>0.29637925805319715</c:v>
                </c:pt>
                <c:pt idx="6">
                  <c:v>0.32009517034804713</c:v>
                </c:pt>
                <c:pt idx="7">
                  <c:v>0.33949732264774518</c:v>
                </c:pt>
                <c:pt idx="8">
                  <c:v>0.34865722010177541</c:v>
                </c:pt>
                <c:pt idx="9">
                  <c:v>0.41845009342654843</c:v>
                </c:pt>
                <c:pt idx="10">
                  <c:v>0.45042841507614939</c:v>
                </c:pt>
                <c:pt idx="11">
                  <c:v>0.50898391521786801</c:v>
                </c:pt>
                <c:pt idx="12">
                  <c:v>0.51942370562887752</c:v>
                </c:pt>
                <c:pt idx="13">
                  <c:v>0.58540406125254651</c:v>
                </c:pt>
                <c:pt idx="14">
                  <c:v>0.66697389396763029</c:v>
                </c:pt>
                <c:pt idx="15">
                  <c:v>0.72587105417944575</c:v>
                </c:pt>
                <c:pt idx="16">
                  <c:v>0.7778119448550751</c:v>
                </c:pt>
                <c:pt idx="17">
                  <c:v>0.76581103829540154</c:v>
                </c:pt>
                <c:pt idx="18">
                  <c:v>0.83112098252936273</c:v>
                </c:pt>
                <c:pt idx="19">
                  <c:v>0.81894556577661748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864E-4359-97F5-19E8C32220A9}"/>
            </c:ext>
          </c:extLst>
        </c:ser>
        <c:ser>
          <c:idx val="1"/>
          <c:order val="1"/>
          <c:tx>
            <c:v>Helium</c:v>
          </c:tx>
          <c:spPr>
            <a:ln w="25400" cap="rnd">
              <a:solidFill>
                <a:srgbClr val="00206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('Aqueous Samples'!$D$12:$D$17,'Aqueous Samples'!$D$19:$D$24,'Aqueous Samples'!$D$26:$D$28,'Aqueous Samples'!$D$30:$D$32,'Aqueous Samples'!$D$34:$D$35)</c:f>
              <c:numCache>
                <c:formatCode>0</c:formatCode>
                <c:ptCount val="20"/>
                <c:pt idx="0">
                  <c:v>20.000000000000007</c:v>
                </c:pt>
                <c:pt idx="1">
                  <c:v>41.000000000000014</c:v>
                </c:pt>
                <c:pt idx="2">
                  <c:v>61.999999999999943</c:v>
                </c:pt>
                <c:pt idx="3">
                  <c:v>82.999999999999943</c:v>
                </c:pt>
                <c:pt idx="4">
                  <c:v>100.99999999999996</c:v>
                </c:pt>
                <c:pt idx="5">
                  <c:v>127.99999999999994</c:v>
                </c:pt>
                <c:pt idx="6">
                  <c:v>156</c:v>
                </c:pt>
                <c:pt idx="7">
                  <c:v>183.00000000000006</c:v>
                </c:pt>
                <c:pt idx="8">
                  <c:v>198.00000000000003</c:v>
                </c:pt>
                <c:pt idx="9">
                  <c:v>216.99999999999994</c:v>
                </c:pt>
                <c:pt idx="10">
                  <c:v>251.99999999999997</c:v>
                </c:pt>
                <c:pt idx="11">
                  <c:v>287</c:v>
                </c:pt>
                <c:pt idx="12">
                  <c:v>314.00000000000006</c:v>
                </c:pt>
                <c:pt idx="13">
                  <c:v>353.99999999999994</c:v>
                </c:pt>
                <c:pt idx="14">
                  <c:v>399.99999999999994</c:v>
                </c:pt>
                <c:pt idx="15">
                  <c:v>459.00000000000006</c:v>
                </c:pt>
                <c:pt idx="16">
                  <c:v>519</c:v>
                </c:pt>
                <c:pt idx="17">
                  <c:v>581.00000000000011</c:v>
                </c:pt>
                <c:pt idx="18">
                  <c:v>645</c:v>
                </c:pt>
                <c:pt idx="19">
                  <c:v>722</c:v>
                </c:pt>
              </c:numCache>
            </c:numRef>
          </c:xVal>
          <c:yVal>
            <c:numRef>
              <c:f>('Aqueous Samples'!$BA$12:$BA$17,'Aqueous Samples'!$BA$19:$BA$24,'Aqueous Samples'!$BA$26:$BA$28,'Aqueous Samples'!$BA$30:$BA$32,'Aqueous Samples'!$BA$34:$BA$35)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4.8452189208290763E-3</c:v>
                </c:pt>
                <c:pt idx="6">
                  <c:v>5.860294651226455E-3</c:v>
                </c:pt>
                <c:pt idx="7">
                  <c:v>0</c:v>
                </c:pt>
                <c:pt idx="8">
                  <c:v>4.8557293130720141E-3</c:v>
                </c:pt>
                <c:pt idx="9">
                  <c:v>9.5220876962356319E-3</c:v>
                </c:pt>
                <c:pt idx="10">
                  <c:v>1.6551055071105551E-2</c:v>
                </c:pt>
                <c:pt idx="11">
                  <c:v>1.6903851464102559E-2</c:v>
                </c:pt>
                <c:pt idx="12">
                  <c:v>1.7770128913263697E-2</c:v>
                </c:pt>
                <c:pt idx="13">
                  <c:v>5.8342489700404593E-2</c:v>
                </c:pt>
                <c:pt idx="14">
                  <c:v>6.6852632689219996E-2</c:v>
                </c:pt>
                <c:pt idx="15">
                  <c:v>0.1063886240715992</c:v>
                </c:pt>
                <c:pt idx="16">
                  <c:v>0.13941900795507742</c:v>
                </c:pt>
                <c:pt idx="17">
                  <c:v>0.18650168268993811</c:v>
                </c:pt>
                <c:pt idx="18">
                  <c:v>0.21745386351414522</c:v>
                </c:pt>
                <c:pt idx="19">
                  <c:v>0.27057671316217818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864E-4359-97F5-19E8C32220A9}"/>
            </c:ext>
          </c:extLst>
        </c:ser>
        <c:ser>
          <c:idx val="3"/>
          <c:order val="2"/>
          <c:tx>
            <c:v>Sulfur Hexafluoride</c:v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('Aqueous Samples'!$D$12:$D$17,'Aqueous Samples'!$D$19:$D$24,'Aqueous Samples'!$D$26:$D$28,'Aqueous Samples'!$D$30:$D$32,'Aqueous Samples'!$D$34:$D$35)</c:f>
              <c:numCache>
                <c:formatCode>0</c:formatCode>
                <c:ptCount val="20"/>
                <c:pt idx="0">
                  <c:v>20.000000000000007</c:v>
                </c:pt>
                <c:pt idx="1">
                  <c:v>41.000000000000014</c:v>
                </c:pt>
                <c:pt idx="2">
                  <c:v>61.999999999999943</c:v>
                </c:pt>
                <c:pt idx="3">
                  <c:v>82.999999999999943</c:v>
                </c:pt>
                <c:pt idx="4">
                  <c:v>100.99999999999996</c:v>
                </c:pt>
                <c:pt idx="5">
                  <c:v>127.99999999999994</c:v>
                </c:pt>
                <c:pt idx="6">
                  <c:v>156</c:v>
                </c:pt>
                <c:pt idx="7">
                  <c:v>183.00000000000006</c:v>
                </c:pt>
                <c:pt idx="8">
                  <c:v>198.00000000000003</c:v>
                </c:pt>
                <c:pt idx="9">
                  <c:v>216.99999999999994</c:v>
                </c:pt>
                <c:pt idx="10">
                  <c:v>251.99999999999997</c:v>
                </c:pt>
                <c:pt idx="11">
                  <c:v>287</c:v>
                </c:pt>
                <c:pt idx="12">
                  <c:v>314.00000000000006</c:v>
                </c:pt>
                <c:pt idx="13">
                  <c:v>353.99999999999994</c:v>
                </c:pt>
                <c:pt idx="14">
                  <c:v>399.99999999999994</c:v>
                </c:pt>
                <c:pt idx="15">
                  <c:v>459.00000000000006</c:v>
                </c:pt>
                <c:pt idx="16">
                  <c:v>519</c:v>
                </c:pt>
                <c:pt idx="17">
                  <c:v>581.00000000000011</c:v>
                </c:pt>
                <c:pt idx="18">
                  <c:v>645</c:v>
                </c:pt>
                <c:pt idx="19">
                  <c:v>722</c:v>
                </c:pt>
              </c:numCache>
            </c:numRef>
          </c:xVal>
          <c:yVal>
            <c:numRef>
              <c:f>('Aqueous Samples'!$BC$12:$BC$17,'Aqueous Samples'!$BC$19:$BC$24,'Aqueous Samples'!$BC$26:$BC$28,'Aqueous Samples'!$BC$30:$BC$32,'Aqueous Samples'!$BC$34:$BC$35)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0.13988233007321896</c:v>
                </c:pt>
                <c:pt idx="4">
                  <c:v>0.19132330812889947</c:v>
                </c:pt>
                <c:pt idx="5">
                  <c:v>0.21364969568505096</c:v>
                </c:pt>
                <c:pt idx="6">
                  <c:v>0.23909009358812161</c:v>
                </c:pt>
                <c:pt idx="7">
                  <c:v>0.24769844280365169</c:v>
                </c:pt>
                <c:pt idx="8">
                  <c:v>0.28240602265468501</c:v>
                </c:pt>
                <c:pt idx="9">
                  <c:v>0.33301778468927878</c:v>
                </c:pt>
                <c:pt idx="10">
                  <c:v>0.36899407530641981</c:v>
                </c:pt>
                <c:pt idx="11">
                  <c:v>0.43124884529095631</c:v>
                </c:pt>
                <c:pt idx="12">
                  <c:v>0.45927961545129536</c:v>
                </c:pt>
                <c:pt idx="13">
                  <c:v>0.5406155507897118</c:v>
                </c:pt>
                <c:pt idx="14">
                  <c:v>0.63559004517157436</c:v>
                </c:pt>
                <c:pt idx="15">
                  <c:v>0.69523562869930133</c:v>
                </c:pt>
                <c:pt idx="16">
                  <c:v>0.72830272430603549</c:v>
                </c:pt>
                <c:pt idx="17">
                  <c:v>0.73457673236514165</c:v>
                </c:pt>
                <c:pt idx="18">
                  <c:v>0.75770936613684869</c:v>
                </c:pt>
                <c:pt idx="19">
                  <c:v>0.72837726636564992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864E-4359-97F5-19E8C32220A9}"/>
            </c:ext>
          </c:extLst>
        </c:ser>
        <c:ser>
          <c:idx val="2"/>
          <c:order val="3"/>
          <c:tx>
            <c:v>Bromide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9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('Aqueous Samples'!$BG$12:$BG$24,'Aqueous Samples'!$BG$26:$BG$36,'Aqueous Samples'!$BG$38:$BG$40,'Aqueous Samples'!$BG$42:$BG$44,'Aqueous Samples'!$BG$46:$BG$47)</c:f>
              <c:numCache>
                <c:formatCode>0</c:formatCode>
                <c:ptCount val="32"/>
                <c:pt idx="0">
                  <c:v>10</c:v>
                </c:pt>
                <c:pt idx="1">
                  <c:v>20.000000000000007</c:v>
                </c:pt>
                <c:pt idx="2">
                  <c:v>31</c:v>
                </c:pt>
                <c:pt idx="3">
                  <c:v>41.000000000000014</c:v>
                </c:pt>
                <c:pt idx="4">
                  <c:v>50</c:v>
                </c:pt>
                <c:pt idx="5">
                  <c:v>61.999999999999943</c:v>
                </c:pt>
                <c:pt idx="6">
                  <c:v>73</c:v>
                </c:pt>
                <c:pt idx="7">
                  <c:v>82.999999999999943</c:v>
                </c:pt>
                <c:pt idx="8">
                  <c:v>91</c:v>
                </c:pt>
                <c:pt idx="9">
                  <c:v>100.99999999999996</c:v>
                </c:pt>
                <c:pt idx="10">
                  <c:v>110</c:v>
                </c:pt>
                <c:pt idx="11">
                  <c:v>127.99999999999994</c:v>
                </c:pt>
                <c:pt idx="12">
                  <c:v>142</c:v>
                </c:pt>
                <c:pt idx="13">
                  <c:v>156</c:v>
                </c:pt>
                <c:pt idx="14">
                  <c:v>171</c:v>
                </c:pt>
                <c:pt idx="15">
                  <c:v>183.00000000000006</c:v>
                </c:pt>
                <c:pt idx="16">
                  <c:v>192</c:v>
                </c:pt>
                <c:pt idx="17">
                  <c:v>198.00000000000003</c:v>
                </c:pt>
                <c:pt idx="18">
                  <c:v>207</c:v>
                </c:pt>
                <c:pt idx="19">
                  <c:v>216.99999999999994</c:v>
                </c:pt>
                <c:pt idx="20">
                  <c:v>228</c:v>
                </c:pt>
                <c:pt idx="21">
                  <c:v>251.99999999999997</c:v>
                </c:pt>
                <c:pt idx="22">
                  <c:v>267</c:v>
                </c:pt>
                <c:pt idx="23">
                  <c:v>287</c:v>
                </c:pt>
                <c:pt idx="24">
                  <c:v>314.00000000000006</c:v>
                </c:pt>
                <c:pt idx="25">
                  <c:v>353.99999999999994</c:v>
                </c:pt>
                <c:pt idx="26">
                  <c:v>399.99999999999994</c:v>
                </c:pt>
                <c:pt idx="27">
                  <c:v>459.00000000000006</c:v>
                </c:pt>
                <c:pt idx="28">
                  <c:v>519</c:v>
                </c:pt>
                <c:pt idx="29">
                  <c:v>581.00000000000011</c:v>
                </c:pt>
                <c:pt idx="30">
                  <c:v>645</c:v>
                </c:pt>
                <c:pt idx="31">
                  <c:v>722</c:v>
                </c:pt>
              </c:numCache>
            </c:numRef>
          </c:xVal>
          <c:yVal>
            <c:numRef>
              <c:f>('Aqueous Samples'!$BH$12:$BH$24,'Aqueous Samples'!$BH$26:$BH$36,'Aqueous Samples'!$BH$38:$BH$40,'Aqueous Samples'!$BH$42:$BH$44,'Aqueous Samples'!$BH$46:$BH$47)</c:f>
              <c:numCache>
                <c:formatCode>General</c:formatCode>
                <c:ptCount val="32"/>
                <c:pt idx="0">
                  <c:v>3.7373237295082575E-3</c:v>
                </c:pt>
                <c:pt idx="1">
                  <c:v>7.5216578203939771E-4</c:v>
                </c:pt>
                <c:pt idx="2">
                  <c:v>0</c:v>
                </c:pt>
                <c:pt idx="3">
                  <c:v>1.4808263833900599E-3</c:v>
                </c:pt>
                <c:pt idx="4">
                  <c:v>3.3612408384885582E-3</c:v>
                </c:pt>
                <c:pt idx="5">
                  <c:v>2.1530745510877757E-2</c:v>
                </c:pt>
                <c:pt idx="6">
                  <c:v>4.3261285057609726E-2</c:v>
                </c:pt>
                <c:pt idx="7">
                  <c:v>0.13481396384021765</c:v>
                </c:pt>
                <c:pt idx="8">
                  <c:v>0.18476247280377142</c:v>
                </c:pt>
                <c:pt idx="9">
                  <c:v>0.32806180687262104</c:v>
                </c:pt>
                <c:pt idx="10">
                  <c:v>0.38355753847871532</c:v>
                </c:pt>
                <c:pt idx="11">
                  <c:v>0.55279483943757979</c:v>
                </c:pt>
                <c:pt idx="12">
                  <c:v>0.65020030821168184</c:v>
                </c:pt>
                <c:pt idx="13">
                  <c:v>0.73122266604573816</c:v>
                </c:pt>
                <c:pt idx="14">
                  <c:v>0.79639077950524539</c:v>
                </c:pt>
                <c:pt idx="15">
                  <c:v>0.74422103096660652</c:v>
                </c:pt>
                <c:pt idx="16">
                  <c:v>0.8325182422238252</c:v>
                </c:pt>
                <c:pt idx="17">
                  <c:v>0.83558566830370462</c:v>
                </c:pt>
                <c:pt idx="18">
                  <c:v>0.89795666526125284</c:v>
                </c:pt>
                <c:pt idx="19">
                  <c:v>0.85594115478014587</c:v>
                </c:pt>
                <c:pt idx="20">
                  <c:v>0.92290741456234093</c:v>
                </c:pt>
                <c:pt idx="21">
                  <c:v>0.93233299201852216</c:v>
                </c:pt>
                <c:pt idx="22">
                  <c:v>0.95795363896923913</c:v>
                </c:pt>
                <c:pt idx="23">
                  <c:v>0.96424127480347466</c:v>
                </c:pt>
                <c:pt idx="24">
                  <c:v>0.95267672590461894</c:v>
                </c:pt>
                <c:pt idx="25">
                  <c:v>0.98459676127991602</c:v>
                </c:pt>
                <c:pt idx="26">
                  <c:v>0.9851726382067898</c:v>
                </c:pt>
                <c:pt idx="27">
                  <c:v>0.98843985832252335</c:v>
                </c:pt>
                <c:pt idx="28">
                  <c:v>0.98250480019861874</c:v>
                </c:pt>
                <c:pt idx="29">
                  <c:v>0.98478480272542579</c:v>
                </c:pt>
                <c:pt idx="30">
                  <c:v>0.97597035996715154</c:v>
                </c:pt>
                <c:pt idx="31">
                  <c:v>0.98088294273109633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581A-4589-870E-228A5020F1A8}"/>
            </c:ext>
          </c:extLst>
        </c:ser>
        <c:ser>
          <c:idx val="4"/>
          <c:order val="4"/>
          <c:tx>
            <c:v>Nitrous Oxide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('Aqueous Samples'!$D$12:$D$17,'Aqueous Samples'!$D$19:$D$24,'Aqueous Samples'!$D$26:$D$28,'Aqueous Samples'!$D$30:$D$32,'Aqueous Samples'!$D$34:$D$35)</c:f>
              <c:numCache>
                <c:formatCode>0</c:formatCode>
                <c:ptCount val="20"/>
                <c:pt idx="0">
                  <c:v>20.000000000000007</c:v>
                </c:pt>
                <c:pt idx="1">
                  <c:v>41.000000000000014</c:v>
                </c:pt>
                <c:pt idx="2">
                  <c:v>61.999999999999943</c:v>
                </c:pt>
                <c:pt idx="3">
                  <c:v>82.999999999999943</c:v>
                </c:pt>
                <c:pt idx="4">
                  <c:v>100.99999999999996</c:v>
                </c:pt>
                <c:pt idx="5">
                  <c:v>127.99999999999994</c:v>
                </c:pt>
                <c:pt idx="6">
                  <c:v>156</c:v>
                </c:pt>
                <c:pt idx="7">
                  <c:v>183.00000000000006</c:v>
                </c:pt>
                <c:pt idx="8">
                  <c:v>198.00000000000003</c:v>
                </c:pt>
                <c:pt idx="9">
                  <c:v>216.99999999999994</c:v>
                </c:pt>
                <c:pt idx="10">
                  <c:v>251.99999999999997</c:v>
                </c:pt>
                <c:pt idx="11">
                  <c:v>287</c:v>
                </c:pt>
                <c:pt idx="12">
                  <c:v>314.00000000000006</c:v>
                </c:pt>
                <c:pt idx="13">
                  <c:v>353.99999999999994</c:v>
                </c:pt>
                <c:pt idx="14">
                  <c:v>399.99999999999994</c:v>
                </c:pt>
                <c:pt idx="15">
                  <c:v>459.00000000000006</c:v>
                </c:pt>
                <c:pt idx="16">
                  <c:v>519</c:v>
                </c:pt>
                <c:pt idx="17">
                  <c:v>581.00000000000011</c:v>
                </c:pt>
                <c:pt idx="18">
                  <c:v>645</c:v>
                </c:pt>
                <c:pt idx="19">
                  <c:v>722</c:v>
                </c:pt>
              </c:numCache>
            </c:numRef>
          </c:xVal>
          <c:yVal>
            <c:numRef>
              <c:f>('Aqueous Samples'!$BB$12:$BB$17,'Aqueous Samples'!$BB$19:$BB$24,'Aqueous Samples'!$BB$26:$BB$28,'Aqueous Samples'!$BB$30:$BB$32,'Aqueous Samples'!$BB$34:$BB$35)</c:f>
              <c:numCache>
                <c:formatCode>General</c:formatCode>
                <c:ptCount val="20"/>
                <c:pt idx="0">
                  <c:v>4.1936771984849147E-5</c:v>
                </c:pt>
                <c:pt idx="1">
                  <c:v>4.1343093159799168E-3</c:v>
                </c:pt>
                <c:pt idx="2">
                  <c:v>2.580753509881532E-2</c:v>
                </c:pt>
                <c:pt idx="3">
                  <c:v>0.10989925128128641</c:v>
                </c:pt>
                <c:pt idx="4">
                  <c:v>0.2155684811182228</c:v>
                </c:pt>
                <c:pt idx="5">
                  <c:v>0.3505141863141148</c:v>
                </c:pt>
                <c:pt idx="6">
                  <c:v>0.4557219294330826</c:v>
                </c:pt>
                <c:pt idx="7">
                  <c:v>0.46892037380429469</c:v>
                </c:pt>
                <c:pt idx="8">
                  <c:v>0.5410855351339372</c:v>
                </c:pt>
                <c:pt idx="9">
                  <c:v>0.6346113143498413</c:v>
                </c:pt>
                <c:pt idx="10">
                  <c:v>0.67100984727804103</c:v>
                </c:pt>
                <c:pt idx="11">
                  <c:v>0.69954971371897046</c:v>
                </c:pt>
                <c:pt idx="12">
                  <c:v>0.58743223519341681</c:v>
                </c:pt>
                <c:pt idx="13">
                  <c:v>0.60661774308411698</c:v>
                </c:pt>
                <c:pt idx="14">
                  <c:v>0.4871876976152586</c:v>
                </c:pt>
                <c:pt idx="15">
                  <c:v>0.32829480948058359</c:v>
                </c:pt>
                <c:pt idx="16">
                  <c:v>0.22142394321292738</c:v>
                </c:pt>
                <c:pt idx="17">
                  <c:v>0.16821907387612137</c:v>
                </c:pt>
                <c:pt idx="18">
                  <c:v>0.12482263781901895</c:v>
                </c:pt>
                <c:pt idx="19">
                  <c:v>0.11873074754835733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84-479B-B4F9-01F86D5B2418}"/>
            </c:ext>
          </c:extLst>
        </c:ser>
        <c:ser>
          <c:idx val="5"/>
          <c:order val="5"/>
          <c:tx>
            <c:v>Methane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('Aqueous Samples'!$D$12:$D$17,'Aqueous Samples'!$D$19:$D$24,'Aqueous Samples'!$D$26:$D$28,'Aqueous Samples'!$D$30:$D$32,'Aqueous Samples'!$D$34:$D$35)</c:f>
              <c:numCache>
                <c:formatCode>0</c:formatCode>
                <c:ptCount val="20"/>
                <c:pt idx="0">
                  <c:v>20.000000000000007</c:v>
                </c:pt>
                <c:pt idx="1">
                  <c:v>41.000000000000014</c:v>
                </c:pt>
                <c:pt idx="2">
                  <c:v>61.999999999999943</c:v>
                </c:pt>
                <c:pt idx="3">
                  <c:v>82.999999999999943</c:v>
                </c:pt>
                <c:pt idx="4">
                  <c:v>100.99999999999996</c:v>
                </c:pt>
                <c:pt idx="5">
                  <c:v>127.99999999999994</c:v>
                </c:pt>
                <c:pt idx="6">
                  <c:v>156</c:v>
                </c:pt>
                <c:pt idx="7">
                  <c:v>183.00000000000006</c:v>
                </c:pt>
                <c:pt idx="8">
                  <c:v>198.00000000000003</c:v>
                </c:pt>
                <c:pt idx="9">
                  <c:v>216.99999999999994</c:v>
                </c:pt>
                <c:pt idx="10">
                  <c:v>251.99999999999997</c:v>
                </c:pt>
                <c:pt idx="11">
                  <c:v>287</c:v>
                </c:pt>
                <c:pt idx="12">
                  <c:v>314.00000000000006</c:v>
                </c:pt>
                <c:pt idx="13">
                  <c:v>353.99999999999994</c:v>
                </c:pt>
                <c:pt idx="14">
                  <c:v>399.99999999999994</c:v>
                </c:pt>
                <c:pt idx="15">
                  <c:v>459.00000000000006</c:v>
                </c:pt>
                <c:pt idx="16">
                  <c:v>519</c:v>
                </c:pt>
                <c:pt idx="17">
                  <c:v>581.00000000000011</c:v>
                </c:pt>
                <c:pt idx="18">
                  <c:v>645</c:v>
                </c:pt>
                <c:pt idx="19">
                  <c:v>722</c:v>
                </c:pt>
              </c:numCache>
            </c:numRef>
          </c:xVal>
          <c:yVal>
            <c:numRef>
              <c:f>('Aqueous Samples'!$BD$12:$BD$17,'Aqueous Samples'!$BD$19:$BD$24,'Aqueous Samples'!$BD$26:$BD$28,'Aqueous Samples'!$BD$30:$BD$32,'Aqueous Samples'!$BD$34:$BD$35)</c:f>
              <c:numCache>
                <c:formatCode>General</c:formatCode>
                <c:ptCount val="20"/>
                <c:pt idx="0">
                  <c:v>2.2237576765012429E-3</c:v>
                </c:pt>
                <c:pt idx="1">
                  <c:v>2.1450987844083287E-4</c:v>
                </c:pt>
                <c:pt idx="2">
                  <c:v>3.4972426479122861E-3</c:v>
                </c:pt>
                <c:pt idx="3">
                  <c:v>4.0577859838402827E-2</c:v>
                </c:pt>
                <c:pt idx="4">
                  <c:v>8.3440962292258725E-2</c:v>
                </c:pt>
                <c:pt idx="5">
                  <c:v>0.13608845847822007</c:v>
                </c:pt>
                <c:pt idx="6">
                  <c:v>0.17430285731225861</c:v>
                </c:pt>
                <c:pt idx="7">
                  <c:v>0.16551044644111454</c:v>
                </c:pt>
                <c:pt idx="8">
                  <c:v>0.2066638366158943</c:v>
                </c:pt>
                <c:pt idx="9">
                  <c:v>0.24332365134539782</c:v>
                </c:pt>
                <c:pt idx="10">
                  <c:v>0.29134625761346594</c:v>
                </c:pt>
                <c:pt idx="11">
                  <c:v>0.34097656944969157</c:v>
                </c:pt>
                <c:pt idx="12">
                  <c:v>0.3761472441588054</c:v>
                </c:pt>
                <c:pt idx="13">
                  <c:v>0.47351251696791935</c:v>
                </c:pt>
                <c:pt idx="14">
                  <c:v>0.54948887104681798</c:v>
                </c:pt>
                <c:pt idx="15">
                  <c:v>0.62170841273133493</c:v>
                </c:pt>
                <c:pt idx="16">
                  <c:v>0.68354393830163573</c:v>
                </c:pt>
                <c:pt idx="17">
                  <c:v>0.71951802130862463</c:v>
                </c:pt>
                <c:pt idx="18">
                  <c:v>0.76070859178393702</c:v>
                </c:pt>
                <c:pt idx="19">
                  <c:v>0.7528584827446928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84-479B-B4F9-01F86D5B2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742504"/>
        <c:axId val="608744472"/>
        <c:extLst/>
      </c:scatterChart>
      <c:valAx>
        <c:axId val="608742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744472"/>
        <c:crosses val="autoZero"/>
        <c:crossBetween val="midCat"/>
      </c:valAx>
      <c:valAx>
        <c:axId val="60874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742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N2O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('Aqueous Samples'!$D$12:$D$19,'Aqueous Samples'!$D$21:$D$26,'Aqueous Samples'!$D$28:$D$29,'Aqueous Samples'!$D$31:$D$32,'Aqueous Samples'!$D$34:$D$35)</c:f>
              <c:numCache>
                <c:formatCode>0</c:formatCode>
                <c:ptCount val="20"/>
                <c:pt idx="0">
                  <c:v>20.000000000000007</c:v>
                </c:pt>
                <c:pt idx="1">
                  <c:v>41.000000000000014</c:v>
                </c:pt>
                <c:pt idx="2">
                  <c:v>61.999999999999943</c:v>
                </c:pt>
                <c:pt idx="3">
                  <c:v>82.999999999999943</c:v>
                </c:pt>
                <c:pt idx="4">
                  <c:v>100.99999999999996</c:v>
                </c:pt>
                <c:pt idx="5">
                  <c:v>127.99999999999994</c:v>
                </c:pt>
                <c:pt idx="6">
                  <c:v>150.00000000000003</c:v>
                </c:pt>
                <c:pt idx="7">
                  <c:v>156</c:v>
                </c:pt>
                <c:pt idx="8">
                  <c:v>198.00000000000003</c:v>
                </c:pt>
                <c:pt idx="9">
                  <c:v>216.99999999999994</c:v>
                </c:pt>
                <c:pt idx="10">
                  <c:v>251.99999999999997</c:v>
                </c:pt>
                <c:pt idx="11">
                  <c:v>287</c:v>
                </c:pt>
                <c:pt idx="12">
                  <c:v>297</c:v>
                </c:pt>
                <c:pt idx="13">
                  <c:v>314.00000000000006</c:v>
                </c:pt>
                <c:pt idx="14">
                  <c:v>399.99999999999994</c:v>
                </c:pt>
                <c:pt idx="15">
                  <c:v>447.99999999999994</c:v>
                </c:pt>
                <c:pt idx="16">
                  <c:v>519</c:v>
                </c:pt>
                <c:pt idx="17">
                  <c:v>581.00000000000011</c:v>
                </c:pt>
                <c:pt idx="18">
                  <c:v>645</c:v>
                </c:pt>
                <c:pt idx="19">
                  <c:v>722</c:v>
                </c:pt>
              </c:numCache>
            </c:numRef>
          </c:xVal>
          <c:yVal>
            <c:numRef>
              <c:f>('Aqueous Samples'!$BB$12:$BB$19,'Aqueous Samples'!$BB$21:$BB$26,'Aqueous Samples'!$BB$28:$BB$29,'Aqueous Samples'!$BB$31:$BB$32,'Aqueous Samples'!$BB$34:$BB$35)</c:f>
              <c:numCache>
                <c:formatCode>General</c:formatCode>
                <c:ptCount val="20"/>
                <c:pt idx="0">
                  <c:v>4.1936771984849147E-5</c:v>
                </c:pt>
                <c:pt idx="1">
                  <c:v>4.1343093159799168E-3</c:v>
                </c:pt>
                <c:pt idx="2">
                  <c:v>2.580753509881532E-2</c:v>
                </c:pt>
                <c:pt idx="3">
                  <c:v>0.10989925128128641</c:v>
                </c:pt>
                <c:pt idx="4">
                  <c:v>0.2155684811182228</c:v>
                </c:pt>
                <c:pt idx="5">
                  <c:v>0.3505141863141148</c:v>
                </c:pt>
                <c:pt idx="6">
                  <c:v>1</c:v>
                </c:pt>
                <c:pt idx="7">
                  <c:v>0.4557219294330826</c:v>
                </c:pt>
                <c:pt idx="8">
                  <c:v>0.5410855351339372</c:v>
                </c:pt>
                <c:pt idx="9">
                  <c:v>0.6346113143498413</c:v>
                </c:pt>
                <c:pt idx="10">
                  <c:v>0.67100984727804103</c:v>
                </c:pt>
                <c:pt idx="11">
                  <c:v>0.69954971371897046</c:v>
                </c:pt>
                <c:pt idx="12">
                  <c:v>1</c:v>
                </c:pt>
                <c:pt idx="13">
                  <c:v>0.58743223519341681</c:v>
                </c:pt>
                <c:pt idx="14">
                  <c:v>0.4871876976152586</c:v>
                </c:pt>
                <c:pt idx="15">
                  <c:v>1</c:v>
                </c:pt>
                <c:pt idx="16">
                  <c:v>0.22142394321292738</c:v>
                </c:pt>
                <c:pt idx="17">
                  <c:v>0.16821907387612137</c:v>
                </c:pt>
                <c:pt idx="18">
                  <c:v>0.12482263781901895</c:v>
                </c:pt>
                <c:pt idx="19">
                  <c:v>0.11873074754835733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C497-45E0-B172-6B97409D6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926264"/>
        <c:axId val="788927904"/>
      </c:scatterChart>
      <c:valAx>
        <c:axId val="788926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927904"/>
        <c:crosses val="autoZero"/>
        <c:crossBetween val="midCat"/>
      </c:valAx>
      <c:valAx>
        <c:axId val="78892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926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('Aqueous Samples'!$D$12:$D$19,'Aqueous Samples'!$D$21:$D$26,'Aqueous Samples'!$D$28:$D$29,'Aqueous Samples'!$D$31:$D$32,'Aqueous Samples'!$D$34:$D$35)</c:f>
              <c:numCache>
                <c:formatCode>0</c:formatCode>
                <c:ptCount val="20"/>
                <c:pt idx="0">
                  <c:v>20.000000000000007</c:v>
                </c:pt>
                <c:pt idx="1">
                  <c:v>41.000000000000014</c:v>
                </c:pt>
                <c:pt idx="2">
                  <c:v>61.999999999999943</c:v>
                </c:pt>
                <c:pt idx="3">
                  <c:v>82.999999999999943</c:v>
                </c:pt>
                <c:pt idx="4">
                  <c:v>100.99999999999996</c:v>
                </c:pt>
                <c:pt idx="5">
                  <c:v>127.99999999999994</c:v>
                </c:pt>
                <c:pt idx="6">
                  <c:v>150.00000000000003</c:v>
                </c:pt>
                <c:pt idx="7">
                  <c:v>156</c:v>
                </c:pt>
                <c:pt idx="8">
                  <c:v>198.00000000000003</c:v>
                </c:pt>
                <c:pt idx="9">
                  <c:v>216.99999999999994</c:v>
                </c:pt>
                <c:pt idx="10">
                  <c:v>251.99999999999997</c:v>
                </c:pt>
                <c:pt idx="11">
                  <c:v>287</c:v>
                </c:pt>
                <c:pt idx="12">
                  <c:v>297</c:v>
                </c:pt>
                <c:pt idx="13">
                  <c:v>314.00000000000006</c:v>
                </c:pt>
                <c:pt idx="14">
                  <c:v>399.99999999999994</c:v>
                </c:pt>
                <c:pt idx="15">
                  <c:v>447.99999999999994</c:v>
                </c:pt>
                <c:pt idx="16">
                  <c:v>519</c:v>
                </c:pt>
                <c:pt idx="17">
                  <c:v>581.00000000000011</c:v>
                </c:pt>
                <c:pt idx="18">
                  <c:v>645</c:v>
                </c:pt>
                <c:pt idx="19">
                  <c:v>722</c:v>
                </c:pt>
              </c:numCache>
            </c:numRef>
          </c:xVal>
          <c:yVal>
            <c:numRef>
              <c:f>('Aqueous Samples'!$AY$12:$AY$19,'Aqueous Samples'!$AY$21:$AY$26,'Aqueous Samples'!$AY$28:$AY$29,'Aqueous Samples'!$AY$31:$AY$32,'Aqueous Samples'!$AY$34:$AY$35)</c:f>
              <c:numCache>
                <c:formatCode>General</c:formatCode>
                <c:ptCount val="20"/>
                <c:pt idx="0">
                  <c:v>0.23680703420748733</c:v>
                </c:pt>
                <c:pt idx="1">
                  <c:v>0.23780372030542268</c:v>
                </c:pt>
                <c:pt idx="2">
                  <c:v>0.23880040640335803</c:v>
                </c:pt>
                <c:pt idx="3">
                  <c:v>0.23979709250129339</c:v>
                </c:pt>
                <c:pt idx="4">
                  <c:v>0.24065139487095227</c:v>
                </c:pt>
                <c:pt idx="5">
                  <c:v>0.24193284842544058</c:v>
                </c:pt>
                <c:pt idx="6">
                  <c:v>0.24297699576613477</c:v>
                </c:pt>
                <c:pt idx="7">
                  <c:v>0.24280559978135924</c:v>
                </c:pt>
                <c:pt idx="8">
                  <c:v>0.24160582788793047</c:v>
                </c:pt>
                <c:pt idx="9">
                  <c:v>0.24106307393614126</c:v>
                </c:pt>
                <c:pt idx="10">
                  <c:v>0.24006326402495062</c:v>
                </c:pt>
                <c:pt idx="11">
                  <c:v>0.23906345411375998</c:v>
                </c:pt>
                <c:pt idx="12">
                  <c:v>0.23877779413913408</c:v>
                </c:pt>
                <c:pt idx="13">
                  <c:v>0.23738579071535088</c:v>
                </c:pt>
                <c:pt idx="14">
                  <c:v>0.23034389104209471</c:v>
                </c:pt>
                <c:pt idx="15">
                  <c:v>0.22641352843376569</c:v>
                </c:pt>
                <c:pt idx="16">
                  <c:v>0.22261608480718487</c:v>
                </c:pt>
                <c:pt idx="17">
                  <c:v>0.21930000727411428</c:v>
                </c:pt>
                <c:pt idx="18">
                  <c:v>0.21609652680965979</c:v>
                </c:pt>
                <c:pt idx="19">
                  <c:v>0.21231630611396446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3D-4AFF-A4DA-CDF3CCE54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653816"/>
        <c:axId val="792656440"/>
      </c:scatterChart>
      <c:valAx>
        <c:axId val="792653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656440"/>
        <c:crosses val="autoZero"/>
        <c:crossBetween val="midCat"/>
      </c:valAx>
      <c:valAx>
        <c:axId val="79265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653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61</xdr:col>
      <xdr:colOff>404812</xdr:colOff>
      <xdr:row>4</xdr:row>
      <xdr:rowOff>95249</xdr:rowOff>
    </xdr:from>
    <xdr:to>
      <xdr:col>75</xdr:col>
      <xdr:colOff>114300</xdr:colOff>
      <xdr:row>30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C18A91-262D-492B-8CBC-509B8DF6A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62</xdr:col>
      <xdr:colOff>114300</xdr:colOff>
      <xdr:row>32</xdr:row>
      <xdr:rowOff>147637</xdr:rowOff>
    </xdr:from>
    <xdr:to>
      <xdr:col>69</xdr:col>
      <xdr:colOff>419100</xdr:colOff>
      <xdr:row>47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06C956-C0A5-4A77-9153-E320BA399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70</xdr:col>
      <xdr:colOff>171450</xdr:colOff>
      <xdr:row>32</xdr:row>
      <xdr:rowOff>128587</xdr:rowOff>
    </xdr:from>
    <xdr:to>
      <xdr:col>77</xdr:col>
      <xdr:colOff>476250</xdr:colOff>
      <xdr:row>47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DF8246-A628-4162-ACAB-8A018D339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36"/>
  <sheetViews>
    <sheetView workbookViewId="0">
      <selection activeCell="G5" sqref="G5:G36"/>
    </sheetView>
  </sheetViews>
  <sheetFormatPr defaultRowHeight="15" x14ac:dyDescent="0.25"/>
  <cols>
    <col min="2" max="6" width="17" customWidth="1"/>
  </cols>
  <sheetData>
    <row r="2" spans="2:7" x14ac:dyDescent="0.25">
      <c r="B2" t="s">
        <v>35</v>
      </c>
      <c r="F2" s="2">
        <v>0.47916666666666669</v>
      </c>
    </row>
    <row r="4" spans="2:7" x14ac:dyDescent="0.25">
      <c r="B4" t="s">
        <v>33</v>
      </c>
      <c r="C4" t="s">
        <v>39</v>
      </c>
      <c r="D4" t="s">
        <v>71</v>
      </c>
      <c r="E4" t="s">
        <v>70</v>
      </c>
      <c r="F4" t="s">
        <v>69</v>
      </c>
      <c r="G4" t="s">
        <v>34</v>
      </c>
    </row>
    <row r="5" spans="2:7" x14ac:dyDescent="0.25">
      <c r="B5" t="s">
        <v>0</v>
      </c>
      <c r="C5" t="s">
        <v>40</v>
      </c>
      <c r="F5" s="2">
        <v>0.39166666666666666</v>
      </c>
      <c r="G5" s="1">
        <v>225064</v>
      </c>
    </row>
    <row r="6" spans="2:7" x14ac:dyDescent="0.25">
      <c r="B6" t="s">
        <v>2</v>
      </c>
      <c r="C6" t="s">
        <v>41</v>
      </c>
      <c r="F6" s="2">
        <v>0.39444444444444443</v>
      </c>
      <c r="G6" s="1">
        <v>260912</v>
      </c>
    </row>
    <row r="7" spans="2:7" x14ac:dyDescent="0.25">
      <c r="B7" t="s">
        <v>3</v>
      </c>
      <c r="C7" t="s">
        <v>42</v>
      </c>
      <c r="F7" s="2">
        <v>0.3979166666666667</v>
      </c>
      <c r="G7" s="1">
        <v>286666</v>
      </c>
    </row>
    <row r="8" spans="2:7" x14ac:dyDescent="0.25">
      <c r="B8" t="s">
        <v>4</v>
      </c>
      <c r="C8" t="s">
        <v>43</v>
      </c>
      <c r="F8" s="2">
        <v>0.39930555555555558</v>
      </c>
      <c r="G8" s="1">
        <v>272180</v>
      </c>
    </row>
    <row r="9" spans="2:7" x14ac:dyDescent="0.25">
      <c r="B9" t="s">
        <v>5</v>
      </c>
      <c r="C9" t="s">
        <v>44</v>
      </c>
      <c r="F9" s="2">
        <v>0.40138888888888885</v>
      </c>
      <c r="G9" s="1">
        <v>273945</v>
      </c>
    </row>
    <row r="10" spans="2:7" x14ac:dyDescent="0.25">
      <c r="B10" t="s">
        <v>6</v>
      </c>
      <c r="C10" t="s">
        <v>48</v>
      </c>
      <c r="F10" s="2">
        <v>0.4145833333333333</v>
      </c>
      <c r="G10" t="s">
        <v>1</v>
      </c>
    </row>
    <row r="11" spans="2:7" x14ac:dyDescent="0.25">
      <c r="B11" t="s">
        <v>7</v>
      </c>
      <c r="C11" t="s">
        <v>49</v>
      </c>
      <c r="F11" s="2">
        <v>0.41597222222222219</v>
      </c>
      <c r="G11" t="s">
        <v>1</v>
      </c>
    </row>
    <row r="12" spans="2:7" x14ac:dyDescent="0.25">
      <c r="B12" t="s">
        <v>8</v>
      </c>
      <c r="C12" t="s">
        <v>50</v>
      </c>
      <c r="F12" s="2">
        <v>0.41805555555555557</v>
      </c>
      <c r="G12" t="s">
        <v>1</v>
      </c>
    </row>
    <row r="13" spans="2:7" x14ac:dyDescent="0.25">
      <c r="B13" t="s">
        <v>9</v>
      </c>
      <c r="C13" t="s">
        <v>51</v>
      </c>
      <c r="F13" s="2">
        <v>0.43958333333333338</v>
      </c>
      <c r="G13" t="s">
        <v>1</v>
      </c>
    </row>
    <row r="14" spans="2:7" x14ac:dyDescent="0.25">
      <c r="B14" t="s">
        <v>10</v>
      </c>
      <c r="C14" t="s">
        <v>52</v>
      </c>
      <c r="F14" s="2">
        <v>0.44097222222222227</v>
      </c>
      <c r="G14" t="s">
        <v>1</v>
      </c>
    </row>
    <row r="15" spans="2:7" x14ac:dyDescent="0.25">
      <c r="B15" s="3" t="s">
        <v>11</v>
      </c>
      <c r="C15" t="s">
        <v>53</v>
      </c>
      <c r="F15" s="2">
        <v>0.46111111111111108</v>
      </c>
      <c r="G15" t="s">
        <v>1</v>
      </c>
    </row>
    <row r="16" spans="2:7" x14ac:dyDescent="0.25">
      <c r="B16" t="s">
        <v>12</v>
      </c>
      <c r="C16" t="s">
        <v>54</v>
      </c>
      <c r="D16">
        <f>24</f>
        <v>24</v>
      </c>
      <c r="E16" s="2">
        <f t="shared" ref="E16:E33" si="0">F16-$F$2</f>
        <v>1.6666666666666663E-2</v>
      </c>
      <c r="F16" s="2">
        <v>0.49583333333333335</v>
      </c>
      <c r="G16" t="s">
        <v>1</v>
      </c>
    </row>
    <row r="17" spans="2:7" x14ac:dyDescent="0.25">
      <c r="B17" t="s">
        <v>13</v>
      </c>
      <c r="C17" t="s">
        <v>55</v>
      </c>
      <c r="D17">
        <f>50</f>
        <v>50</v>
      </c>
      <c r="E17" s="2">
        <f t="shared" si="0"/>
        <v>3.4722222222222265E-2</v>
      </c>
      <c r="F17" s="2">
        <v>0.51388888888888895</v>
      </c>
      <c r="G17" t="s">
        <v>1</v>
      </c>
    </row>
    <row r="18" spans="2:7" x14ac:dyDescent="0.25">
      <c r="B18" t="s">
        <v>14</v>
      </c>
      <c r="C18" t="s">
        <v>56</v>
      </c>
      <c r="D18">
        <f>60*1+14</f>
        <v>74</v>
      </c>
      <c r="E18" s="2">
        <f t="shared" si="0"/>
        <v>5.1388888888888873E-2</v>
      </c>
      <c r="F18" s="2">
        <v>0.53055555555555556</v>
      </c>
      <c r="G18" t="s">
        <v>1</v>
      </c>
    </row>
    <row r="19" spans="2:7" x14ac:dyDescent="0.25">
      <c r="B19" t="s">
        <v>15</v>
      </c>
      <c r="C19" t="s">
        <v>57</v>
      </c>
      <c r="D19">
        <f>1*60+34</f>
        <v>94</v>
      </c>
      <c r="E19" s="2">
        <f t="shared" si="0"/>
        <v>6.5277777777777712E-2</v>
      </c>
      <c r="F19" s="2">
        <v>0.5444444444444444</v>
      </c>
      <c r="G19" t="s">
        <v>1</v>
      </c>
    </row>
    <row r="20" spans="2:7" x14ac:dyDescent="0.25">
      <c r="B20" t="s">
        <v>16</v>
      </c>
      <c r="C20" t="s">
        <v>58</v>
      </c>
      <c r="D20">
        <f>1*60+36</f>
        <v>96</v>
      </c>
      <c r="E20" s="2">
        <f t="shared" si="0"/>
        <v>6.6666666666666596E-2</v>
      </c>
      <c r="F20" s="2">
        <v>0.54583333333333328</v>
      </c>
      <c r="G20" t="s">
        <v>1</v>
      </c>
    </row>
    <row r="21" spans="2:7" x14ac:dyDescent="0.25">
      <c r="B21" t="s">
        <v>17</v>
      </c>
      <c r="C21" t="s">
        <v>59</v>
      </c>
      <c r="D21">
        <f>2*60+1</f>
        <v>121</v>
      </c>
      <c r="E21" s="2">
        <f t="shared" si="0"/>
        <v>8.4027777777777757E-2</v>
      </c>
      <c r="F21" s="2">
        <v>0.56319444444444444</v>
      </c>
      <c r="G21" t="s">
        <v>1</v>
      </c>
    </row>
    <row r="22" spans="2:7" x14ac:dyDescent="0.25">
      <c r="B22" t="s">
        <v>18</v>
      </c>
      <c r="C22" t="s">
        <v>58</v>
      </c>
      <c r="D22">
        <f>60*2+3</f>
        <v>123</v>
      </c>
      <c r="E22" s="2">
        <f t="shared" si="0"/>
        <v>8.5416666666666641E-2</v>
      </c>
      <c r="F22" s="2">
        <v>0.56458333333333333</v>
      </c>
      <c r="G22" t="s">
        <v>1</v>
      </c>
    </row>
    <row r="23" spans="2:7" x14ac:dyDescent="0.25">
      <c r="B23" t="s">
        <v>19</v>
      </c>
      <c r="C23" t="s">
        <v>60</v>
      </c>
      <c r="D23">
        <f>2*60+28</f>
        <v>148</v>
      </c>
      <c r="E23" s="2">
        <f t="shared" si="0"/>
        <v>0.1027777777777778</v>
      </c>
      <c r="F23" s="2">
        <v>0.58194444444444449</v>
      </c>
      <c r="G23" t="s">
        <v>1</v>
      </c>
    </row>
    <row r="24" spans="2:7" x14ac:dyDescent="0.25">
      <c r="B24" t="s">
        <v>20</v>
      </c>
      <c r="C24" t="s">
        <v>61</v>
      </c>
      <c r="D24">
        <f>2*60+51</f>
        <v>171</v>
      </c>
      <c r="E24" s="2">
        <f t="shared" si="0"/>
        <v>0.11874999999999997</v>
      </c>
      <c r="F24" s="2">
        <v>0.59791666666666665</v>
      </c>
      <c r="G24" t="s">
        <v>1</v>
      </c>
    </row>
    <row r="25" spans="2:7" x14ac:dyDescent="0.25">
      <c r="B25" t="s">
        <v>21</v>
      </c>
      <c r="C25" t="s">
        <v>48</v>
      </c>
      <c r="D25">
        <f>2*60+53</f>
        <v>173</v>
      </c>
      <c r="E25" s="2">
        <f t="shared" si="0"/>
        <v>0.12013888888888885</v>
      </c>
      <c r="F25" s="2">
        <v>0.59930555555555554</v>
      </c>
      <c r="G25" s="1">
        <v>26791</v>
      </c>
    </row>
    <row r="26" spans="2:7" x14ac:dyDescent="0.25">
      <c r="B26" t="s">
        <v>22</v>
      </c>
      <c r="C26" t="s">
        <v>62</v>
      </c>
      <c r="D26">
        <f>3*60+12</f>
        <v>192</v>
      </c>
      <c r="E26" s="2">
        <f t="shared" si="0"/>
        <v>0.13333333333333325</v>
      </c>
      <c r="F26" s="2">
        <v>0.61249999999999993</v>
      </c>
      <c r="G26" t="s">
        <v>1</v>
      </c>
    </row>
    <row r="27" spans="2:7" x14ac:dyDescent="0.25">
      <c r="B27" t="s">
        <v>23</v>
      </c>
      <c r="C27" t="s">
        <v>48</v>
      </c>
      <c r="D27">
        <f>3*60+14</f>
        <v>194</v>
      </c>
      <c r="E27" s="2">
        <f t="shared" si="0"/>
        <v>0.13472222222222213</v>
      </c>
      <c r="F27" s="2">
        <v>0.61388888888888882</v>
      </c>
      <c r="G27" s="1">
        <v>31780</v>
      </c>
    </row>
    <row r="28" spans="2:7" x14ac:dyDescent="0.25">
      <c r="B28" t="s">
        <v>24</v>
      </c>
      <c r="C28" t="s">
        <v>63</v>
      </c>
      <c r="D28">
        <f>3*60+53</f>
        <v>233</v>
      </c>
      <c r="E28" s="2">
        <f t="shared" si="0"/>
        <v>0.16180555555555548</v>
      </c>
      <c r="F28" s="2">
        <v>0.64097222222222217</v>
      </c>
      <c r="G28" s="1">
        <v>24758</v>
      </c>
    </row>
    <row r="29" spans="2:7" x14ac:dyDescent="0.25">
      <c r="B29" t="s">
        <v>25</v>
      </c>
      <c r="C29" t="s">
        <v>64</v>
      </c>
      <c r="D29">
        <f>4*60+36</f>
        <v>276</v>
      </c>
      <c r="E29" s="2">
        <f t="shared" si="0"/>
        <v>0.19166666666666671</v>
      </c>
      <c r="F29" s="2">
        <v>0.67083333333333339</v>
      </c>
      <c r="G29" s="1">
        <v>44280</v>
      </c>
    </row>
    <row r="30" spans="2:7" x14ac:dyDescent="0.25">
      <c r="B30" t="s">
        <v>26</v>
      </c>
      <c r="C30" t="s">
        <v>65</v>
      </c>
      <c r="D30">
        <f>4*60+59</f>
        <v>299</v>
      </c>
      <c r="E30" s="2">
        <f t="shared" si="0"/>
        <v>0.20763888888888887</v>
      </c>
      <c r="F30" s="2">
        <v>0.68680555555555556</v>
      </c>
      <c r="G30" s="1">
        <v>49974</v>
      </c>
    </row>
    <row r="31" spans="2:7" x14ac:dyDescent="0.25">
      <c r="B31" t="s">
        <v>27</v>
      </c>
      <c r="C31" t="s">
        <v>66</v>
      </c>
      <c r="D31">
        <f>5*60+26</f>
        <v>326</v>
      </c>
      <c r="E31" s="2">
        <f t="shared" si="0"/>
        <v>0.22638888888888892</v>
      </c>
      <c r="F31" s="2">
        <v>0.7055555555555556</v>
      </c>
      <c r="G31" s="1">
        <v>60893</v>
      </c>
    </row>
    <row r="32" spans="2:7" x14ac:dyDescent="0.25">
      <c r="B32" t="s">
        <v>28</v>
      </c>
      <c r="C32" t="s">
        <v>67</v>
      </c>
      <c r="D32">
        <f>6*60+23</f>
        <v>383</v>
      </c>
      <c r="E32" s="2">
        <f t="shared" si="0"/>
        <v>0.26597222222222222</v>
      </c>
      <c r="F32" s="2">
        <v>0.74513888888888891</v>
      </c>
      <c r="G32" t="s">
        <v>1</v>
      </c>
    </row>
    <row r="33" spans="2:7" x14ac:dyDescent="0.25">
      <c r="B33" t="s">
        <v>29</v>
      </c>
      <c r="C33" t="s">
        <v>68</v>
      </c>
      <c r="D33">
        <f>8*60+7</f>
        <v>487</v>
      </c>
      <c r="E33" s="2">
        <f t="shared" si="0"/>
        <v>0.33819444444444441</v>
      </c>
      <c r="F33" s="2">
        <v>0.81736111111111109</v>
      </c>
      <c r="G33" s="1">
        <v>111941</v>
      </c>
    </row>
    <row r="34" spans="2:7" x14ac:dyDescent="0.25">
      <c r="B34" t="s">
        <v>30</v>
      </c>
      <c r="C34" t="s">
        <v>45</v>
      </c>
      <c r="E34" s="2"/>
      <c r="G34" s="1">
        <v>205177</v>
      </c>
    </row>
    <row r="35" spans="2:7" x14ac:dyDescent="0.25">
      <c r="B35" t="s">
        <v>31</v>
      </c>
      <c r="C35" t="s">
        <v>46</v>
      </c>
      <c r="E35" s="2"/>
      <c r="G35" s="1">
        <v>220369</v>
      </c>
    </row>
    <row r="36" spans="2:7" x14ac:dyDescent="0.25">
      <c r="B36" t="s">
        <v>32</v>
      </c>
      <c r="C36" t="s">
        <v>47</v>
      </c>
      <c r="E36" s="2"/>
      <c r="G36" s="1">
        <v>253342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G38"/>
  <sheetViews>
    <sheetView workbookViewId="0">
      <selection activeCell="G6" sqref="G6:G36"/>
    </sheetView>
  </sheetViews>
  <sheetFormatPr defaultRowHeight="15" x14ac:dyDescent="0.25"/>
  <cols>
    <col min="2" max="2" width="15.7109375" customWidth="1"/>
    <col min="3" max="3" width="15.28515625" customWidth="1"/>
    <col min="4" max="4" width="17" customWidth="1"/>
    <col min="5" max="5" width="14.140625" customWidth="1"/>
    <col min="6" max="6" width="13.7109375" customWidth="1"/>
    <col min="7" max="7" width="12" customWidth="1"/>
  </cols>
  <sheetData>
    <row r="3" spans="2:7" x14ac:dyDescent="0.25">
      <c r="B3" t="s">
        <v>38</v>
      </c>
      <c r="F3" s="2">
        <v>0.47916666666666669</v>
      </c>
    </row>
    <row r="5" spans="2:7" x14ac:dyDescent="0.25">
      <c r="B5" t="s">
        <v>33</v>
      </c>
      <c r="C5" t="s">
        <v>39</v>
      </c>
      <c r="D5" t="s">
        <v>71</v>
      </c>
      <c r="E5" t="s">
        <v>70</v>
      </c>
      <c r="F5" t="s">
        <v>69</v>
      </c>
      <c r="G5" t="s">
        <v>34</v>
      </c>
    </row>
    <row r="6" spans="2:7" x14ac:dyDescent="0.25">
      <c r="B6" t="s">
        <v>0</v>
      </c>
      <c r="C6" t="s">
        <v>40</v>
      </c>
      <c r="F6" s="2">
        <v>0.39166666666666666</v>
      </c>
      <c r="G6" s="1">
        <v>38743</v>
      </c>
    </row>
    <row r="7" spans="2:7" x14ac:dyDescent="0.25">
      <c r="B7" t="s">
        <v>2</v>
      </c>
      <c r="C7" t="s">
        <v>41</v>
      </c>
      <c r="F7" s="2">
        <v>0.39444444444444443</v>
      </c>
      <c r="G7" s="1">
        <v>41768</v>
      </c>
    </row>
    <row r="8" spans="2:7" x14ac:dyDescent="0.25">
      <c r="B8" t="s">
        <v>3</v>
      </c>
      <c r="C8" t="s">
        <v>42</v>
      </c>
      <c r="F8" s="2">
        <v>0.3979166666666667</v>
      </c>
      <c r="G8" s="1">
        <v>45362</v>
      </c>
    </row>
    <row r="9" spans="2:7" x14ac:dyDescent="0.25">
      <c r="B9" t="s">
        <v>4</v>
      </c>
      <c r="C9" t="s">
        <v>43</v>
      </c>
      <c r="F9" s="2">
        <v>0.39930555555555558</v>
      </c>
      <c r="G9" s="1">
        <v>43503</v>
      </c>
    </row>
    <row r="10" spans="2:7" x14ac:dyDescent="0.25">
      <c r="B10" t="s">
        <v>5</v>
      </c>
      <c r="C10" t="s">
        <v>44</v>
      </c>
      <c r="F10" s="2">
        <v>0.40138888888888885</v>
      </c>
      <c r="G10" s="1">
        <v>42796</v>
      </c>
    </row>
    <row r="11" spans="2:7" x14ac:dyDescent="0.25">
      <c r="B11" t="s">
        <v>6</v>
      </c>
      <c r="C11" t="s">
        <v>48</v>
      </c>
      <c r="F11" s="2">
        <v>0.4145833333333333</v>
      </c>
      <c r="G11" s="1">
        <v>2333</v>
      </c>
    </row>
    <row r="12" spans="2:7" x14ac:dyDescent="0.25">
      <c r="B12" t="s">
        <v>7</v>
      </c>
      <c r="C12" t="s">
        <v>49</v>
      </c>
      <c r="F12" s="2">
        <v>0.41597222222222219</v>
      </c>
      <c r="G12" s="1">
        <v>2202</v>
      </c>
    </row>
    <row r="13" spans="2:7" x14ac:dyDescent="0.25">
      <c r="B13" t="s">
        <v>8</v>
      </c>
      <c r="C13" t="s">
        <v>50</v>
      </c>
      <c r="F13" s="2">
        <v>0.41805555555555557</v>
      </c>
      <c r="G13" s="1">
        <v>2205</v>
      </c>
    </row>
    <row r="14" spans="2:7" x14ac:dyDescent="0.25">
      <c r="B14" t="s">
        <v>9</v>
      </c>
      <c r="C14" t="s">
        <v>51</v>
      </c>
      <c r="F14" s="2">
        <v>0.43958333333333338</v>
      </c>
      <c r="G14" s="1">
        <v>2139</v>
      </c>
    </row>
    <row r="15" spans="2:7" x14ac:dyDescent="0.25">
      <c r="B15" t="s">
        <v>10</v>
      </c>
      <c r="C15" t="s">
        <v>52</v>
      </c>
      <c r="F15" s="2">
        <v>0.44097222222222227</v>
      </c>
      <c r="G15" s="1">
        <v>2134</v>
      </c>
    </row>
    <row r="16" spans="2:7" x14ac:dyDescent="0.25">
      <c r="B16" t="s">
        <v>11</v>
      </c>
      <c r="C16" t="s">
        <v>53</v>
      </c>
      <c r="F16" s="2">
        <v>0.46111111111111108</v>
      </c>
      <c r="G16" s="1">
        <v>2177</v>
      </c>
    </row>
    <row r="17" spans="2:7" x14ac:dyDescent="0.25">
      <c r="B17" t="s">
        <v>12</v>
      </c>
      <c r="C17" t="s">
        <v>54</v>
      </c>
      <c r="D17">
        <f>24</f>
        <v>24</v>
      </c>
      <c r="E17" s="2">
        <f t="shared" ref="E17:E34" si="0">F17-$F$4</f>
        <v>0.49583333333333335</v>
      </c>
      <c r="F17" s="2">
        <v>0.49583333333333335</v>
      </c>
      <c r="G17" s="1">
        <v>2155</v>
      </c>
    </row>
    <row r="18" spans="2:7" x14ac:dyDescent="0.25">
      <c r="B18" t="s">
        <v>13</v>
      </c>
      <c r="C18" t="s">
        <v>55</v>
      </c>
      <c r="D18">
        <f>50</f>
        <v>50</v>
      </c>
      <c r="E18" s="2">
        <f t="shared" si="0"/>
        <v>0.51388888888888895</v>
      </c>
      <c r="F18" s="2">
        <v>0.51388888888888895</v>
      </c>
      <c r="G18" s="1">
        <v>2137</v>
      </c>
    </row>
    <row r="19" spans="2:7" x14ac:dyDescent="0.25">
      <c r="B19" t="s">
        <v>14</v>
      </c>
      <c r="C19" t="s">
        <v>56</v>
      </c>
      <c r="D19">
        <f>60*1+14</f>
        <v>74</v>
      </c>
      <c r="E19" s="2">
        <f t="shared" si="0"/>
        <v>0.53055555555555556</v>
      </c>
      <c r="F19" s="2">
        <v>0.53055555555555556</v>
      </c>
      <c r="G19" s="1">
        <v>2138</v>
      </c>
    </row>
    <row r="20" spans="2:7" x14ac:dyDescent="0.25">
      <c r="B20" t="s">
        <v>15</v>
      </c>
      <c r="C20" t="s">
        <v>57</v>
      </c>
      <c r="D20">
        <f>1*60+34</f>
        <v>94</v>
      </c>
      <c r="E20" s="2">
        <f t="shared" si="0"/>
        <v>0.5444444444444444</v>
      </c>
      <c r="F20" s="2">
        <v>0.5444444444444444</v>
      </c>
      <c r="G20" s="1">
        <v>2160</v>
      </c>
    </row>
    <row r="21" spans="2:7" x14ac:dyDescent="0.25">
      <c r="B21" t="s">
        <v>16</v>
      </c>
      <c r="C21" t="s">
        <v>58</v>
      </c>
      <c r="D21">
        <f>1*60+36</f>
        <v>96</v>
      </c>
      <c r="E21" s="2">
        <f t="shared" si="0"/>
        <v>0.54583333333333328</v>
      </c>
      <c r="F21" s="2">
        <v>0.54583333333333328</v>
      </c>
      <c r="G21" s="1">
        <v>1992</v>
      </c>
    </row>
    <row r="22" spans="2:7" x14ac:dyDescent="0.25">
      <c r="B22" t="s">
        <v>17</v>
      </c>
      <c r="C22" t="s">
        <v>59</v>
      </c>
      <c r="D22">
        <f>2*60+1</f>
        <v>121</v>
      </c>
      <c r="E22" s="2">
        <f t="shared" si="0"/>
        <v>0.56319444444444444</v>
      </c>
      <c r="F22" s="2">
        <v>0.56319444444444444</v>
      </c>
      <c r="G22" s="1">
        <v>2201</v>
      </c>
    </row>
    <row r="23" spans="2:7" x14ac:dyDescent="0.25">
      <c r="B23" t="s">
        <v>18</v>
      </c>
      <c r="C23" t="s">
        <v>58</v>
      </c>
      <c r="D23">
        <f>60*2+3</f>
        <v>123</v>
      </c>
      <c r="E23" s="2">
        <f t="shared" si="0"/>
        <v>0.56458333333333333</v>
      </c>
      <c r="F23" s="2">
        <v>0.56458333333333333</v>
      </c>
      <c r="G23" s="1">
        <v>2099</v>
      </c>
    </row>
    <row r="24" spans="2:7" x14ac:dyDescent="0.25">
      <c r="B24" t="s">
        <v>19</v>
      </c>
      <c r="C24" t="s">
        <v>60</v>
      </c>
      <c r="D24">
        <f>2*60+28</f>
        <v>148</v>
      </c>
      <c r="E24" s="2">
        <f t="shared" si="0"/>
        <v>0.58194444444444449</v>
      </c>
      <c r="F24" s="2">
        <v>0.58194444444444449</v>
      </c>
      <c r="G24" s="1">
        <v>2633</v>
      </c>
    </row>
    <row r="25" spans="2:7" x14ac:dyDescent="0.25">
      <c r="B25" t="s">
        <v>20</v>
      </c>
      <c r="C25" t="s">
        <v>61</v>
      </c>
      <c r="D25">
        <f>2*60+51</f>
        <v>171</v>
      </c>
      <c r="E25" s="2">
        <f t="shared" si="0"/>
        <v>0.59791666666666665</v>
      </c>
      <c r="F25" s="2">
        <v>0.59791666666666665</v>
      </c>
      <c r="G25" s="1">
        <v>3195</v>
      </c>
    </row>
    <row r="26" spans="2:7" x14ac:dyDescent="0.25">
      <c r="B26" t="s">
        <v>21</v>
      </c>
      <c r="C26" t="s">
        <v>48</v>
      </c>
      <c r="D26">
        <f>2*60+53</f>
        <v>173</v>
      </c>
      <c r="E26" s="2">
        <f t="shared" si="0"/>
        <v>0.59930555555555554</v>
      </c>
      <c r="F26" s="2">
        <v>0.59930555555555554</v>
      </c>
      <c r="G26" s="1">
        <v>4601</v>
      </c>
    </row>
    <row r="27" spans="2:7" x14ac:dyDescent="0.25">
      <c r="B27" t="s">
        <v>22</v>
      </c>
      <c r="C27" t="s">
        <v>62</v>
      </c>
      <c r="D27">
        <f>3*60+12</f>
        <v>192</v>
      </c>
      <c r="E27" s="2">
        <f t="shared" si="0"/>
        <v>0.61249999999999993</v>
      </c>
      <c r="F27" s="2">
        <v>0.61249999999999993</v>
      </c>
      <c r="G27" s="1">
        <v>3116</v>
      </c>
    </row>
    <row r="28" spans="2:7" x14ac:dyDescent="0.25">
      <c r="B28" t="s">
        <v>23</v>
      </c>
      <c r="C28" t="s">
        <v>48</v>
      </c>
      <c r="D28">
        <f>3*60+14</f>
        <v>194</v>
      </c>
      <c r="E28" s="2">
        <f t="shared" si="0"/>
        <v>0.61388888888888882</v>
      </c>
      <c r="F28" s="2">
        <v>0.61388888888888882</v>
      </c>
      <c r="G28" s="1">
        <v>5122</v>
      </c>
    </row>
    <row r="29" spans="2:7" x14ac:dyDescent="0.25">
      <c r="B29" t="s">
        <v>24</v>
      </c>
      <c r="C29" t="s">
        <v>63</v>
      </c>
      <c r="D29">
        <f>3*60+53</f>
        <v>233</v>
      </c>
      <c r="E29" s="2">
        <f t="shared" si="0"/>
        <v>0.64097222222222217</v>
      </c>
      <c r="F29" s="2">
        <v>0.64097222222222217</v>
      </c>
      <c r="G29" s="1">
        <v>3927</v>
      </c>
    </row>
    <row r="30" spans="2:7" x14ac:dyDescent="0.25">
      <c r="B30" t="s">
        <v>25</v>
      </c>
      <c r="C30" t="s">
        <v>64</v>
      </c>
      <c r="D30">
        <f>4*60+36</f>
        <v>276</v>
      </c>
      <c r="E30" s="2">
        <f t="shared" si="0"/>
        <v>0.67083333333333339</v>
      </c>
      <c r="F30" s="2">
        <v>0.67083333333333339</v>
      </c>
      <c r="G30" s="1">
        <v>6013</v>
      </c>
    </row>
    <row r="31" spans="2:7" x14ac:dyDescent="0.25">
      <c r="B31" t="s">
        <v>26</v>
      </c>
      <c r="C31" t="s">
        <v>65</v>
      </c>
      <c r="D31">
        <f>4*60+59</f>
        <v>299</v>
      </c>
      <c r="E31" s="2">
        <f t="shared" si="0"/>
        <v>0.68680555555555556</v>
      </c>
      <c r="F31" s="2">
        <v>0.68680555555555556</v>
      </c>
      <c r="G31" s="1">
        <v>6452</v>
      </c>
    </row>
    <row r="32" spans="2:7" x14ac:dyDescent="0.25">
      <c r="B32" t="s">
        <v>27</v>
      </c>
      <c r="C32" t="s">
        <v>66</v>
      </c>
      <c r="D32">
        <f>5*60+26</f>
        <v>326</v>
      </c>
      <c r="E32" s="2">
        <f t="shared" si="0"/>
        <v>0.7055555555555556</v>
      </c>
      <c r="F32" s="2">
        <v>0.7055555555555556</v>
      </c>
      <c r="G32" s="1">
        <v>7589</v>
      </c>
    </row>
    <row r="33" spans="2:7" x14ac:dyDescent="0.25">
      <c r="B33" t="s">
        <v>28</v>
      </c>
      <c r="C33" t="s">
        <v>67</v>
      </c>
      <c r="D33">
        <f>6*60+23</f>
        <v>383</v>
      </c>
      <c r="E33" s="2">
        <f t="shared" si="0"/>
        <v>0.74513888888888891</v>
      </c>
      <c r="F33" s="2">
        <v>0.74513888888888891</v>
      </c>
      <c r="G33" s="1">
        <v>9009</v>
      </c>
    </row>
    <row r="34" spans="2:7" x14ac:dyDescent="0.25">
      <c r="B34" t="s">
        <v>29</v>
      </c>
      <c r="C34" t="s">
        <v>68</v>
      </c>
      <c r="D34">
        <f>8*60+7</f>
        <v>487</v>
      </c>
      <c r="E34" s="2">
        <f t="shared" si="0"/>
        <v>0.81736111111111109</v>
      </c>
      <c r="F34" s="2">
        <v>0.81736111111111109</v>
      </c>
      <c r="G34" s="1">
        <v>11629</v>
      </c>
    </row>
    <row r="35" spans="2:7" x14ac:dyDescent="0.25">
      <c r="B35" t="s">
        <v>30</v>
      </c>
      <c r="C35" t="s">
        <v>45</v>
      </c>
      <c r="E35" s="2"/>
      <c r="G35" s="1">
        <v>27994</v>
      </c>
    </row>
    <row r="36" spans="2:7" x14ac:dyDescent="0.25">
      <c r="B36" t="s">
        <v>31</v>
      </c>
      <c r="C36" t="s">
        <v>46</v>
      </c>
      <c r="E36" s="2"/>
      <c r="G36" s="1">
        <v>28437</v>
      </c>
    </row>
    <row r="37" spans="2:7" x14ac:dyDescent="0.25">
      <c r="B37" t="s">
        <v>32</v>
      </c>
      <c r="C37" t="s">
        <v>47</v>
      </c>
      <c r="E37" s="2"/>
    </row>
    <row r="38" spans="2:7" x14ac:dyDescent="0.25">
      <c r="C38" s="1">
        <v>32414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G76"/>
  <sheetViews>
    <sheetView topLeftCell="A40" workbookViewId="0">
      <selection activeCell="G45" sqref="G45:G76"/>
    </sheetView>
  </sheetViews>
  <sheetFormatPr defaultRowHeight="15" x14ac:dyDescent="0.25"/>
  <cols>
    <col min="2" max="3" width="18.28515625" customWidth="1"/>
    <col min="4" max="4" width="17.85546875" customWidth="1"/>
    <col min="5" max="5" width="13.140625" customWidth="1"/>
    <col min="7" max="7" width="16.42578125" customWidth="1"/>
  </cols>
  <sheetData>
    <row r="3" spans="2:7" x14ac:dyDescent="0.25">
      <c r="B3" t="s">
        <v>37</v>
      </c>
      <c r="F3" s="2">
        <v>0.47916666666666669</v>
      </c>
    </row>
    <row r="5" spans="2:7" x14ac:dyDescent="0.25">
      <c r="B5" t="s">
        <v>33</v>
      </c>
      <c r="C5" t="s">
        <v>39</v>
      </c>
      <c r="D5" t="s">
        <v>71</v>
      </c>
      <c r="E5" t="s">
        <v>70</v>
      </c>
      <c r="F5" t="s">
        <v>69</v>
      </c>
      <c r="G5" t="s">
        <v>34</v>
      </c>
    </row>
    <row r="6" spans="2:7" x14ac:dyDescent="0.25">
      <c r="B6" t="s">
        <v>0</v>
      </c>
      <c r="C6" t="s">
        <v>40</v>
      </c>
      <c r="F6" s="2">
        <v>0.39166666666666666</v>
      </c>
      <c r="G6" s="1">
        <v>13558865</v>
      </c>
    </row>
    <row r="7" spans="2:7" x14ac:dyDescent="0.25">
      <c r="B7" t="s">
        <v>2</v>
      </c>
      <c r="C7" t="s">
        <v>41</v>
      </c>
      <c r="F7" s="2">
        <v>0.39444444444444443</v>
      </c>
      <c r="G7" s="1">
        <v>14598976</v>
      </c>
    </row>
    <row r="8" spans="2:7" x14ac:dyDescent="0.25">
      <c r="B8" t="s">
        <v>3</v>
      </c>
      <c r="C8" t="s">
        <v>42</v>
      </c>
      <c r="F8" s="2">
        <v>0.3979166666666667</v>
      </c>
      <c r="G8" s="1">
        <v>14678123</v>
      </c>
    </row>
    <row r="9" spans="2:7" x14ac:dyDescent="0.25">
      <c r="B9" t="s">
        <v>4</v>
      </c>
      <c r="C9" t="s">
        <v>43</v>
      </c>
      <c r="F9" s="2">
        <v>0.39930555555555558</v>
      </c>
      <c r="G9" s="1">
        <v>14330488</v>
      </c>
    </row>
    <row r="10" spans="2:7" x14ac:dyDescent="0.25">
      <c r="B10" t="s">
        <v>5</v>
      </c>
      <c r="C10" t="s">
        <v>44</v>
      </c>
      <c r="F10" s="2">
        <v>0.40138888888888885</v>
      </c>
      <c r="G10" s="1">
        <v>14297503</v>
      </c>
    </row>
    <row r="11" spans="2:7" x14ac:dyDescent="0.25">
      <c r="B11" t="s">
        <v>6</v>
      </c>
      <c r="C11" t="s">
        <v>48</v>
      </c>
      <c r="F11" s="2">
        <v>0.4145833333333333</v>
      </c>
      <c r="G11" s="1">
        <v>850228</v>
      </c>
    </row>
    <row r="12" spans="2:7" x14ac:dyDescent="0.25">
      <c r="B12" t="s">
        <v>7</v>
      </c>
      <c r="C12" t="s">
        <v>49</v>
      </c>
      <c r="F12" s="2">
        <v>0.41597222222222219</v>
      </c>
      <c r="G12" s="1">
        <v>2466266</v>
      </c>
    </row>
    <row r="13" spans="2:7" x14ac:dyDescent="0.25">
      <c r="B13" t="s">
        <v>8</v>
      </c>
      <c r="C13" t="s">
        <v>50</v>
      </c>
      <c r="F13" s="2">
        <v>0.41805555555555557</v>
      </c>
      <c r="G13" s="1">
        <v>1629694</v>
      </c>
    </row>
    <row r="14" spans="2:7" x14ac:dyDescent="0.25">
      <c r="B14" t="s">
        <v>9</v>
      </c>
      <c r="C14" t="s">
        <v>51</v>
      </c>
      <c r="F14" s="2">
        <v>0.43958333333333338</v>
      </c>
      <c r="G14" s="1">
        <v>1010279</v>
      </c>
    </row>
    <row r="15" spans="2:7" x14ac:dyDescent="0.25">
      <c r="B15" t="s">
        <v>10</v>
      </c>
      <c r="C15" t="s">
        <v>52</v>
      </c>
      <c r="F15" s="2">
        <v>0.44097222222222227</v>
      </c>
      <c r="G15" s="1">
        <v>1013199</v>
      </c>
    </row>
    <row r="16" spans="2:7" x14ac:dyDescent="0.25">
      <c r="B16" t="s">
        <v>11</v>
      </c>
      <c r="C16" t="s">
        <v>53</v>
      </c>
      <c r="F16" s="2">
        <v>0.46111111111111108</v>
      </c>
      <c r="G16" s="1">
        <v>1205936</v>
      </c>
    </row>
    <row r="17" spans="2:7" x14ac:dyDescent="0.25">
      <c r="B17" t="s">
        <v>12</v>
      </c>
      <c r="C17" t="s">
        <v>54</v>
      </c>
      <c r="D17">
        <f>24</f>
        <v>24</v>
      </c>
      <c r="E17" s="2">
        <f t="shared" ref="E17:E34" si="0">F17-$F$4</f>
        <v>0.49583333333333335</v>
      </c>
      <c r="F17" s="2">
        <v>0.49583333333333335</v>
      </c>
      <c r="G17" s="1">
        <v>952135</v>
      </c>
    </row>
    <row r="18" spans="2:7" x14ac:dyDescent="0.25">
      <c r="B18" t="s">
        <v>13</v>
      </c>
      <c r="C18" t="s">
        <v>55</v>
      </c>
      <c r="D18">
        <f>50</f>
        <v>50</v>
      </c>
      <c r="E18" s="2">
        <f t="shared" si="0"/>
        <v>0.51388888888888895</v>
      </c>
      <c r="F18" s="2">
        <v>0.51388888888888895</v>
      </c>
      <c r="G18" s="1">
        <v>1104342</v>
      </c>
    </row>
    <row r="19" spans="2:7" x14ac:dyDescent="0.25">
      <c r="B19" t="s">
        <v>14</v>
      </c>
      <c r="C19" t="s">
        <v>56</v>
      </c>
      <c r="D19">
        <f>60*1+14</f>
        <v>74</v>
      </c>
      <c r="E19" s="2">
        <f t="shared" si="0"/>
        <v>0.53055555555555556</v>
      </c>
      <c r="F19" s="2">
        <v>0.53055555555555556</v>
      </c>
      <c r="G19" s="1">
        <v>1282389</v>
      </c>
    </row>
    <row r="20" spans="2:7" x14ac:dyDescent="0.25">
      <c r="B20" t="s">
        <v>15</v>
      </c>
      <c r="C20" t="s">
        <v>57</v>
      </c>
      <c r="D20">
        <f>1*60+34</f>
        <v>94</v>
      </c>
      <c r="E20" s="2">
        <f t="shared" si="0"/>
        <v>0.5444444444444444</v>
      </c>
      <c r="F20" s="2">
        <v>0.5444444444444444</v>
      </c>
      <c r="G20" s="1">
        <v>1173886</v>
      </c>
    </row>
    <row r="21" spans="2:7" x14ac:dyDescent="0.25">
      <c r="B21" t="s">
        <v>16</v>
      </c>
      <c r="C21" t="s">
        <v>58</v>
      </c>
      <c r="D21">
        <f>1*60+36</f>
        <v>96</v>
      </c>
      <c r="E21" s="2">
        <f t="shared" si="0"/>
        <v>0.54583333333333328</v>
      </c>
      <c r="F21" s="2">
        <v>0.54583333333333328</v>
      </c>
      <c r="G21" s="1">
        <v>1198812</v>
      </c>
    </row>
    <row r="22" spans="2:7" x14ac:dyDescent="0.25">
      <c r="B22" t="s">
        <v>17</v>
      </c>
      <c r="C22" t="s">
        <v>59</v>
      </c>
      <c r="D22">
        <f>2*60+1</f>
        <v>121</v>
      </c>
      <c r="E22" s="2">
        <f t="shared" si="0"/>
        <v>0.56319444444444444</v>
      </c>
      <c r="F22" s="2">
        <v>0.56319444444444444</v>
      </c>
      <c r="G22" s="1">
        <v>1819744</v>
      </c>
    </row>
    <row r="23" spans="2:7" x14ac:dyDescent="0.25">
      <c r="B23" t="s">
        <v>18</v>
      </c>
      <c r="C23" t="s">
        <v>58</v>
      </c>
      <c r="D23">
        <f>60*2+3</f>
        <v>123</v>
      </c>
      <c r="E23" s="2">
        <f t="shared" si="0"/>
        <v>0.56458333333333333</v>
      </c>
      <c r="F23" s="2">
        <v>0.56458333333333333</v>
      </c>
      <c r="G23" s="1">
        <v>1407541</v>
      </c>
    </row>
    <row r="24" spans="2:7" x14ac:dyDescent="0.25">
      <c r="B24" t="s">
        <v>19</v>
      </c>
      <c r="C24" t="s">
        <v>60</v>
      </c>
      <c r="D24">
        <f>2*60+28</f>
        <v>148</v>
      </c>
      <c r="E24" s="2">
        <f t="shared" si="0"/>
        <v>0.58194444444444449</v>
      </c>
      <c r="F24" s="2">
        <v>0.58194444444444449</v>
      </c>
      <c r="G24" s="1">
        <v>3276137</v>
      </c>
    </row>
    <row r="25" spans="2:7" x14ac:dyDescent="0.25">
      <c r="B25" t="s">
        <v>20</v>
      </c>
      <c r="C25" t="s">
        <v>61</v>
      </c>
      <c r="D25">
        <f>2*60+51</f>
        <v>171</v>
      </c>
      <c r="E25" s="2">
        <f t="shared" si="0"/>
        <v>0.59791666666666665</v>
      </c>
      <c r="F25" s="2">
        <v>0.59791666666666665</v>
      </c>
      <c r="G25" s="1">
        <v>1574109</v>
      </c>
    </row>
    <row r="26" spans="2:7" x14ac:dyDescent="0.25">
      <c r="B26" t="s">
        <v>21</v>
      </c>
      <c r="C26" t="s">
        <v>48</v>
      </c>
      <c r="D26">
        <f>2*60+53</f>
        <v>173</v>
      </c>
      <c r="E26" s="2">
        <f t="shared" si="0"/>
        <v>0.59930555555555554</v>
      </c>
      <c r="F26" s="2">
        <v>0.59930555555555554</v>
      </c>
      <c r="G26" s="1">
        <v>1747241</v>
      </c>
    </row>
    <row r="27" spans="2:7" x14ac:dyDescent="0.25">
      <c r="B27" t="s">
        <v>22</v>
      </c>
      <c r="C27" t="s">
        <v>62</v>
      </c>
      <c r="D27">
        <f>3*60+12</f>
        <v>192</v>
      </c>
      <c r="E27" s="2">
        <f t="shared" si="0"/>
        <v>0.61249999999999993</v>
      </c>
      <c r="F27" s="2">
        <v>0.61249999999999993</v>
      </c>
      <c r="G27" s="1">
        <v>2357248</v>
      </c>
    </row>
    <row r="28" spans="2:7" x14ac:dyDescent="0.25">
      <c r="B28" t="s">
        <v>23</v>
      </c>
      <c r="C28" t="s">
        <v>48</v>
      </c>
      <c r="D28">
        <f>3*60+14</f>
        <v>194</v>
      </c>
      <c r="E28" s="2">
        <f t="shared" si="0"/>
        <v>0.61388888888888882</v>
      </c>
      <c r="F28" s="2">
        <v>0.61388888888888882</v>
      </c>
      <c r="G28" s="1">
        <v>858820</v>
      </c>
    </row>
    <row r="29" spans="2:7" x14ac:dyDescent="0.25">
      <c r="B29" t="s">
        <v>24</v>
      </c>
      <c r="C29" t="s">
        <v>63</v>
      </c>
      <c r="D29">
        <f>3*60+53</f>
        <v>233</v>
      </c>
      <c r="E29" s="2">
        <f t="shared" si="0"/>
        <v>0.64097222222222217</v>
      </c>
      <c r="F29" s="2">
        <v>0.64097222222222217</v>
      </c>
      <c r="G29" s="1">
        <v>2745758</v>
      </c>
    </row>
    <row r="30" spans="2:7" x14ac:dyDescent="0.25">
      <c r="B30" t="s">
        <v>25</v>
      </c>
      <c r="C30" t="s">
        <v>64</v>
      </c>
      <c r="D30">
        <f>4*60+36</f>
        <v>276</v>
      </c>
      <c r="E30" s="2">
        <f t="shared" si="0"/>
        <v>0.67083333333333339</v>
      </c>
      <c r="F30" s="2">
        <v>0.67083333333333339</v>
      </c>
      <c r="G30" s="1">
        <v>3496061</v>
      </c>
    </row>
    <row r="31" spans="2:7" x14ac:dyDescent="0.25">
      <c r="B31" t="s">
        <v>26</v>
      </c>
      <c r="C31" t="s">
        <v>65</v>
      </c>
      <c r="D31">
        <f>4*60+59</f>
        <v>299</v>
      </c>
      <c r="E31" s="2">
        <f t="shared" si="0"/>
        <v>0.68680555555555556</v>
      </c>
      <c r="F31" s="2">
        <v>0.68680555555555556</v>
      </c>
      <c r="G31" s="1">
        <v>4481813</v>
      </c>
    </row>
    <row r="32" spans="2:7" x14ac:dyDescent="0.25">
      <c r="B32" t="s">
        <v>27</v>
      </c>
      <c r="C32" t="s">
        <v>66</v>
      </c>
      <c r="D32">
        <f>5*60+26</f>
        <v>326</v>
      </c>
      <c r="E32" s="2">
        <f t="shared" si="0"/>
        <v>0.7055555555555556</v>
      </c>
      <c r="F32" s="2">
        <v>0.7055555555555556</v>
      </c>
      <c r="G32" s="1">
        <v>3832659</v>
      </c>
    </row>
    <row r="33" spans="2:7" x14ac:dyDescent="0.25">
      <c r="B33" t="s">
        <v>28</v>
      </c>
      <c r="C33" t="s">
        <v>67</v>
      </c>
      <c r="D33">
        <f>6*60+23</f>
        <v>383</v>
      </c>
      <c r="E33" s="2">
        <f t="shared" si="0"/>
        <v>0.74513888888888891</v>
      </c>
      <c r="F33" s="2">
        <v>0.74513888888888891</v>
      </c>
      <c r="G33" s="1">
        <v>5284747</v>
      </c>
    </row>
    <row r="34" spans="2:7" x14ac:dyDescent="0.25">
      <c r="B34" t="s">
        <v>29</v>
      </c>
      <c r="C34" t="s">
        <v>68</v>
      </c>
      <c r="D34">
        <f>8*60+7</f>
        <v>487</v>
      </c>
      <c r="E34" s="2">
        <f t="shared" si="0"/>
        <v>0.81736111111111109</v>
      </c>
      <c r="F34" s="2">
        <v>0.81736111111111109</v>
      </c>
      <c r="G34" s="1">
        <v>4973506</v>
      </c>
    </row>
    <row r="35" spans="2:7" x14ac:dyDescent="0.25">
      <c r="B35" t="s">
        <v>30</v>
      </c>
      <c r="C35" t="s">
        <v>45</v>
      </c>
      <c r="E35" s="2"/>
      <c r="G35" s="1">
        <v>13244987</v>
      </c>
    </row>
    <row r="36" spans="2:7" x14ac:dyDescent="0.25">
      <c r="B36" t="s">
        <v>31</v>
      </c>
      <c r="C36" t="s">
        <v>46</v>
      </c>
      <c r="E36" s="2"/>
      <c r="G36" s="1">
        <v>13414216</v>
      </c>
    </row>
    <row r="37" spans="2:7" x14ac:dyDescent="0.25">
      <c r="B37" t="s">
        <v>32</v>
      </c>
      <c r="C37" t="s">
        <v>47</v>
      </c>
      <c r="E37" s="2"/>
    </row>
    <row r="43" spans="2:7" x14ac:dyDescent="0.25">
      <c r="B43" t="s">
        <v>36</v>
      </c>
    </row>
    <row r="44" spans="2:7" x14ac:dyDescent="0.25">
      <c r="B44" t="s">
        <v>33</v>
      </c>
      <c r="C44" t="s">
        <v>39</v>
      </c>
      <c r="D44" t="s">
        <v>71</v>
      </c>
      <c r="E44" t="s">
        <v>70</v>
      </c>
      <c r="F44" t="s">
        <v>69</v>
      </c>
    </row>
    <row r="45" spans="2:7" x14ac:dyDescent="0.25">
      <c r="B45" t="s">
        <v>0</v>
      </c>
      <c r="C45" t="s">
        <v>40</v>
      </c>
      <c r="F45" s="2">
        <v>0.39166666666666666</v>
      </c>
      <c r="G45" s="1">
        <v>105872</v>
      </c>
    </row>
    <row r="46" spans="2:7" x14ac:dyDescent="0.25">
      <c r="B46" t="s">
        <v>2</v>
      </c>
      <c r="C46" t="s">
        <v>41</v>
      </c>
      <c r="F46" s="2">
        <v>0.39444444444444443</v>
      </c>
      <c r="G46" s="1">
        <v>138455</v>
      </c>
    </row>
    <row r="47" spans="2:7" x14ac:dyDescent="0.25">
      <c r="B47" t="s">
        <v>3</v>
      </c>
      <c r="C47" t="s">
        <v>42</v>
      </c>
      <c r="F47" s="2">
        <v>0.3979166666666667</v>
      </c>
      <c r="G47" s="1">
        <v>156739</v>
      </c>
    </row>
    <row r="48" spans="2:7" x14ac:dyDescent="0.25">
      <c r="B48" t="s">
        <v>4</v>
      </c>
      <c r="C48" t="s">
        <v>43</v>
      </c>
      <c r="F48" s="2">
        <v>0.39930555555555558</v>
      </c>
      <c r="G48" s="1">
        <v>153577</v>
      </c>
    </row>
    <row r="49" spans="2:7" x14ac:dyDescent="0.25">
      <c r="B49" t="s">
        <v>5</v>
      </c>
      <c r="C49" t="s">
        <v>44</v>
      </c>
      <c r="F49" s="2">
        <v>0.40138888888888885</v>
      </c>
      <c r="G49" s="1">
        <v>155923</v>
      </c>
    </row>
    <row r="50" spans="2:7" x14ac:dyDescent="0.25">
      <c r="B50" t="s">
        <v>6</v>
      </c>
      <c r="C50" t="s">
        <v>48</v>
      </c>
      <c r="F50" s="2">
        <v>0.4145833333333333</v>
      </c>
      <c r="G50" t="s">
        <v>1</v>
      </c>
    </row>
    <row r="51" spans="2:7" x14ac:dyDescent="0.25">
      <c r="B51" t="s">
        <v>7</v>
      </c>
      <c r="C51" t="s">
        <v>49</v>
      </c>
      <c r="F51" s="2">
        <v>0.41597222222222219</v>
      </c>
      <c r="G51" t="s">
        <v>1</v>
      </c>
    </row>
    <row r="52" spans="2:7" x14ac:dyDescent="0.25">
      <c r="B52" t="s">
        <v>8</v>
      </c>
      <c r="C52" t="s">
        <v>50</v>
      </c>
      <c r="F52" s="2">
        <v>0.41805555555555557</v>
      </c>
      <c r="G52" t="s">
        <v>1</v>
      </c>
    </row>
    <row r="53" spans="2:7" x14ac:dyDescent="0.25">
      <c r="B53" t="s">
        <v>9</v>
      </c>
      <c r="C53" t="s">
        <v>51</v>
      </c>
      <c r="F53" s="2">
        <v>0.43958333333333338</v>
      </c>
      <c r="G53" t="s">
        <v>1</v>
      </c>
    </row>
    <row r="54" spans="2:7" x14ac:dyDescent="0.25">
      <c r="B54" t="s">
        <v>10</v>
      </c>
      <c r="C54" t="s">
        <v>52</v>
      </c>
      <c r="F54" s="2">
        <v>0.44097222222222227</v>
      </c>
      <c r="G54" t="s">
        <v>1</v>
      </c>
    </row>
    <row r="55" spans="2:7" x14ac:dyDescent="0.25">
      <c r="B55" t="s">
        <v>11</v>
      </c>
      <c r="C55" t="s">
        <v>53</v>
      </c>
      <c r="F55" s="2">
        <v>0.46111111111111108</v>
      </c>
      <c r="G55" t="s">
        <v>1</v>
      </c>
    </row>
    <row r="56" spans="2:7" x14ac:dyDescent="0.25">
      <c r="B56" t="s">
        <v>12</v>
      </c>
      <c r="C56" t="s">
        <v>54</v>
      </c>
      <c r="D56">
        <f>24</f>
        <v>24</v>
      </c>
      <c r="E56" s="2">
        <f t="shared" ref="E56:E73" si="1">F56-$F$4</f>
        <v>0.49583333333333335</v>
      </c>
      <c r="F56" s="2">
        <v>0.49583333333333335</v>
      </c>
      <c r="G56" t="s">
        <v>1</v>
      </c>
    </row>
    <row r="57" spans="2:7" x14ac:dyDescent="0.25">
      <c r="B57" t="s">
        <v>13</v>
      </c>
      <c r="C57" t="s">
        <v>55</v>
      </c>
      <c r="D57">
        <f>50</f>
        <v>50</v>
      </c>
      <c r="E57" s="2">
        <f t="shared" si="1"/>
        <v>0.51388888888888895</v>
      </c>
      <c r="F57" s="2">
        <v>0.51388888888888895</v>
      </c>
      <c r="G57" t="s">
        <v>1</v>
      </c>
    </row>
    <row r="58" spans="2:7" x14ac:dyDescent="0.25">
      <c r="B58" t="s">
        <v>14</v>
      </c>
      <c r="C58" t="s">
        <v>56</v>
      </c>
      <c r="D58">
        <f>60*1+14</f>
        <v>74</v>
      </c>
      <c r="E58" s="2">
        <f t="shared" si="1"/>
        <v>0.53055555555555556</v>
      </c>
      <c r="F58" s="2">
        <v>0.53055555555555556</v>
      </c>
      <c r="G58" t="s">
        <v>1</v>
      </c>
    </row>
    <row r="59" spans="2:7" x14ac:dyDescent="0.25">
      <c r="B59" t="s">
        <v>15</v>
      </c>
      <c r="C59" t="s">
        <v>57</v>
      </c>
      <c r="D59">
        <f>1*60+34</f>
        <v>94</v>
      </c>
      <c r="E59" s="2">
        <f t="shared" si="1"/>
        <v>0.5444444444444444</v>
      </c>
      <c r="F59" s="2">
        <v>0.5444444444444444</v>
      </c>
      <c r="G59" s="1">
        <v>1711</v>
      </c>
    </row>
    <row r="60" spans="2:7" x14ac:dyDescent="0.25">
      <c r="B60" t="s">
        <v>16</v>
      </c>
      <c r="C60" t="s">
        <v>58</v>
      </c>
      <c r="D60">
        <f>1*60+36</f>
        <v>96</v>
      </c>
      <c r="E60" s="2">
        <f t="shared" si="1"/>
        <v>0.54583333333333328</v>
      </c>
      <c r="F60" s="2">
        <v>0.54583333333333328</v>
      </c>
      <c r="G60" t="s">
        <v>1</v>
      </c>
    </row>
    <row r="61" spans="2:7" x14ac:dyDescent="0.25">
      <c r="B61" t="s">
        <v>17</v>
      </c>
      <c r="C61" t="s">
        <v>59</v>
      </c>
      <c r="D61">
        <f>2*60+1</f>
        <v>121</v>
      </c>
      <c r="E61" s="2">
        <f t="shared" si="1"/>
        <v>0.56319444444444444</v>
      </c>
      <c r="F61" s="2">
        <v>0.56319444444444444</v>
      </c>
      <c r="G61" s="1">
        <v>1674</v>
      </c>
    </row>
    <row r="62" spans="2:7" x14ac:dyDescent="0.25">
      <c r="B62" t="s">
        <v>18</v>
      </c>
      <c r="C62" t="s">
        <v>58</v>
      </c>
      <c r="D62">
        <f>60*2+3</f>
        <v>123</v>
      </c>
      <c r="E62" s="2">
        <f t="shared" si="1"/>
        <v>0.56458333333333333</v>
      </c>
      <c r="F62" s="2">
        <v>0.56458333333333333</v>
      </c>
      <c r="G62" s="1">
        <v>1031</v>
      </c>
    </row>
    <row r="63" spans="2:7" x14ac:dyDescent="0.25">
      <c r="B63" t="s">
        <v>19</v>
      </c>
      <c r="C63" t="s">
        <v>60</v>
      </c>
      <c r="D63">
        <f>2*60+28</f>
        <v>148</v>
      </c>
      <c r="E63" s="2">
        <f t="shared" si="1"/>
        <v>0.58194444444444449</v>
      </c>
      <c r="F63" s="2">
        <v>0.58194444444444449</v>
      </c>
      <c r="G63" s="1">
        <v>7419</v>
      </c>
    </row>
    <row r="64" spans="2:7" x14ac:dyDescent="0.25">
      <c r="B64" t="s">
        <v>20</v>
      </c>
      <c r="C64" t="s">
        <v>61</v>
      </c>
      <c r="D64">
        <f>2*60+51</f>
        <v>171</v>
      </c>
      <c r="E64" s="2">
        <f t="shared" si="1"/>
        <v>0.59791666666666665</v>
      </c>
      <c r="F64" s="2">
        <v>0.59791666666666665</v>
      </c>
      <c r="G64" s="1">
        <v>32994</v>
      </c>
    </row>
    <row r="65" spans="2:7" x14ac:dyDescent="0.25">
      <c r="B65" t="s">
        <v>21</v>
      </c>
      <c r="C65" t="s">
        <v>48</v>
      </c>
      <c r="D65">
        <f>2*60+53</f>
        <v>173</v>
      </c>
      <c r="E65" s="2">
        <f t="shared" si="1"/>
        <v>0.59930555555555554</v>
      </c>
      <c r="F65" s="2">
        <v>0.59930555555555554</v>
      </c>
      <c r="G65" s="1">
        <v>26359</v>
      </c>
    </row>
    <row r="66" spans="2:7" x14ac:dyDescent="0.25">
      <c r="B66" t="s">
        <v>22</v>
      </c>
      <c r="C66" t="s">
        <v>62</v>
      </c>
      <c r="D66">
        <f>3*60+12</f>
        <v>192</v>
      </c>
      <c r="E66" s="2">
        <f t="shared" si="1"/>
        <v>0.61249999999999993</v>
      </c>
      <c r="F66" s="2">
        <v>0.61249999999999993</v>
      </c>
      <c r="G66" s="1">
        <v>15314</v>
      </c>
    </row>
    <row r="67" spans="2:7" x14ac:dyDescent="0.25">
      <c r="B67" t="s">
        <v>23</v>
      </c>
      <c r="C67" t="s">
        <v>48</v>
      </c>
      <c r="D67">
        <f>3*60+14</f>
        <v>194</v>
      </c>
      <c r="E67" s="2">
        <f t="shared" si="1"/>
        <v>0.61388888888888882</v>
      </c>
      <c r="F67" s="2">
        <v>0.61388888888888882</v>
      </c>
      <c r="G67" s="1">
        <v>28330</v>
      </c>
    </row>
    <row r="68" spans="2:7" x14ac:dyDescent="0.25">
      <c r="B68" t="s">
        <v>24</v>
      </c>
      <c r="C68" t="s">
        <v>63</v>
      </c>
      <c r="D68">
        <f>3*60+53</f>
        <v>233</v>
      </c>
      <c r="E68" s="2">
        <f t="shared" si="1"/>
        <v>0.64097222222222217</v>
      </c>
      <c r="F68" s="2">
        <v>0.64097222222222217</v>
      </c>
      <c r="G68" s="1">
        <v>26190</v>
      </c>
    </row>
    <row r="69" spans="2:7" x14ac:dyDescent="0.25">
      <c r="B69" t="s">
        <v>25</v>
      </c>
      <c r="C69" t="s">
        <v>64</v>
      </c>
      <c r="D69">
        <f>4*60+36</f>
        <v>276</v>
      </c>
      <c r="E69" s="2">
        <f t="shared" si="1"/>
        <v>0.67083333333333339</v>
      </c>
      <c r="F69" s="2">
        <v>0.67083333333333339</v>
      </c>
      <c r="G69" s="1">
        <v>45661</v>
      </c>
    </row>
    <row r="70" spans="2:7" x14ac:dyDescent="0.25">
      <c r="B70" t="s">
        <v>26</v>
      </c>
      <c r="C70" t="s">
        <v>65</v>
      </c>
      <c r="D70">
        <f>4*60+59</f>
        <v>299</v>
      </c>
      <c r="E70" s="2">
        <f t="shared" si="1"/>
        <v>0.68680555555555556</v>
      </c>
      <c r="F70" s="2">
        <v>0.68680555555555556</v>
      </c>
      <c r="G70" s="1">
        <v>49334</v>
      </c>
    </row>
    <row r="71" spans="2:7" x14ac:dyDescent="0.25">
      <c r="B71" t="s">
        <v>27</v>
      </c>
      <c r="C71" t="s">
        <v>66</v>
      </c>
      <c r="D71">
        <f>5*60+26</f>
        <v>326</v>
      </c>
      <c r="E71" s="2">
        <f t="shared" si="1"/>
        <v>0.7055555555555556</v>
      </c>
      <c r="F71" s="2">
        <v>0.7055555555555556</v>
      </c>
      <c r="G71" s="1">
        <v>58120</v>
      </c>
    </row>
    <row r="72" spans="2:7" x14ac:dyDescent="0.25">
      <c r="B72" t="s">
        <v>28</v>
      </c>
      <c r="C72" t="s">
        <v>67</v>
      </c>
      <c r="D72">
        <f>6*60+23</f>
        <v>383</v>
      </c>
      <c r="E72" s="2">
        <f t="shared" si="1"/>
        <v>0.74513888888888891</v>
      </c>
      <c r="F72" s="2">
        <v>0.74513888888888891</v>
      </c>
      <c r="G72" s="1">
        <v>66545</v>
      </c>
    </row>
    <row r="73" spans="2:7" x14ac:dyDescent="0.25">
      <c r="B73" t="s">
        <v>29</v>
      </c>
      <c r="C73" t="s">
        <v>68</v>
      </c>
      <c r="D73">
        <f>8*60+7</f>
        <v>487</v>
      </c>
      <c r="E73" s="2">
        <f t="shared" si="1"/>
        <v>0.81736111111111109</v>
      </c>
      <c r="F73" s="2">
        <v>0.81736111111111109</v>
      </c>
      <c r="G73" s="1">
        <v>90196</v>
      </c>
    </row>
    <row r="74" spans="2:7" x14ac:dyDescent="0.25">
      <c r="B74" t="s">
        <v>30</v>
      </c>
      <c r="C74" t="s">
        <v>45</v>
      </c>
      <c r="E74" s="2"/>
      <c r="G74" s="1">
        <v>114371</v>
      </c>
    </row>
    <row r="75" spans="2:7" x14ac:dyDescent="0.25">
      <c r="B75" t="s">
        <v>31</v>
      </c>
      <c r="C75" t="s">
        <v>46</v>
      </c>
      <c r="E75" s="2"/>
      <c r="G75" s="1">
        <v>127131</v>
      </c>
    </row>
    <row r="76" spans="2:7" x14ac:dyDescent="0.25">
      <c r="B76" t="s">
        <v>32</v>
      </c>
      <c r="C76" t="s">
        <v>47</v>
      </c>
      <c r="E76" s="2"/>
      <c r="G76" s="1">
        <v>149057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38E52-5A37-4526-9FFB-7C4083362A52}">
  <dimension ref="A3:CP48"/>
  <sheetViews>
    <sheetView tabSelected="1" topLeftCell="AX1" workbookViewId="0">
      <selection activeCell="AZ34" activeCellId="4" sqref="AZ12:BD17 AZ19:BD24 AZ26:BD28 AZ30:BD32 AZ34:BD35"/>
    </sheetView>
  </sheetViews>
  <sheetFormatPr defaultRowHeight="15" x14ac:dyDescent="0.25"/>
  <cols>
    <col min="1" max="1" width="9.140625" style="11"/>
    <col min="2" max="2" width="23.42578125" style="11" customWidth="1"/>
    <col min="3" max="3" width="20.7109375" style="11" customWidth="1"/>
    <col min="4" max="4" width="18.85546875" style="11" customWidth="1"/>
    <col min="5" max="5" width="15.28515625" style="11" customWidth="1"/>
    <col min="6" max="6" width="9.140625" style="11"/>
    <col min="7" max="7" width="14.28515625" style="11" customWidth="1"/>
    <col min="8" max="8" width="17.140625" style="11" customWidth="1"/>
    <col min="9" max="9" width="26" style="11" customWidth="1"/>
    <col min="10" max="10" width="22.42578125" style="11" customWidth="1"/>
    <col min="11" max="11" width="21.42578125" style="11" customWidth="1"/>
    <col min="12" max="13" width="9.140625" style="11"/>
    <col min="14" max="14" width="13.42578125" style="11" customWidth="1"/>
    <col min="15" max="16" width="9.140625" style="11"/>
    <col min="17" max="17" width="14.28515625" style="11" customWidth="1"/>
    <col min="18" max="18" width="12.42578125" style="11" customWidth="1"/>
    <col min="19" max="19" width="14.42578125" style="11" customWidth="1"/>
    <col min="20" max="21" width="18.42578125" style="11" customWidth="1"/>
    <col min="22" max="22" width="15" style="11" customWidth="1"/>
    <col min="23" max="24" width="14.28515625" style="11" customWidth="1"/>
    <col min="25" max="26" width="18.7109375" style="11" customWidth="1"/>
    <col min="27" max="27" width="16.140625" style="11" customWidth="1"/>
    <col min="28" max="28" width="15" style="11" customWidth="1"/>
    <col min="29" max="29" width="18.7109375" style="11" customWidth="1"/>
    <col min="30" max="31" width="21.7109375" style="11" customWidth="1"/>
    <col min="32" max="32" width="12" style="11" bestFit="1" customWidth="1"/>
    <col min="33" max="33" width="9.140625" style="11"/>
    <col min="34" max="34" width="14.42578125" style="11" customWidth="1"/>
    <col min="35" max="36" width="19" style="11" customWidth="1"/>
    <col min="37" max="37" width="13.7109375" style="11" customWidth="1"/>
    <col min="38" max="38" width="12.42578125" style="11" customWidth="1"/>
    <col min="39" max="39" width="12.7109375" style="11" customWidth="1"/>
    <col min="40" max="41" width="18.28515625" style="11" customWidth="1"/>
    <col min="42" max="43" width="9.140625" style="11"/>
    <col min="44" max="44" width="15.28515625" style="11" customWidth="1"/>
    <col min="45" max="46" width="18.7109375" style="11" customWidth="1"/>
    <col min="47" max="47" width="14.85546875" style="11" customWidth="1"/>
    <col min="48" max="48" width="9.140625" style="11"/>
    <col min="49" max="49" width="14.28515625" style="11" customWidth="1"/>
    <col min="50" max="51" width="18.85546875" style="11" customWidth="1"/>
    <col min="52" max="53" width="9.140625" style="11"/>
    <col min="54" max="54" width="13.42578125" style="11" customWidth="1"/>
    <col min="55" max="58" width="18.140625" style="11" customWidth="1"/>
    <col min="59" max="59" width="16.5703125" style="11" customWidth="1"/>
    <col min="60" max="60" width="19.5703125" style="11" customWidth="1"/>
    <col min="61" max="16384" width="9.140625" style="11"/>
  </cols>
  <sheetData>
    <row r="3" spans="2:60" x14ac:dyDescent="0.25">
      <c r="B3" s="12"/>
      <c r="C3" s="12"/>
      <c r="D3" s="12"/>
      <c r="E3" s="12"/>
      <c r="F3" s="10">
        <v>0.42083333333333334</v>
      </c>
      <c r="G3" s="10"/>
      <c r="H3" s="10"/>
      <c r="I3" s="10"/>
      <c r="J3" s="10"/>
      <c r="K3" s="10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</row>
    <row r="4" spans="2:60" x14ac:dyDescent="0.25">
      <c r="B4" s="12"/>
      <c r="C4" s="12"/>
      <c r="D4" s="12"/>
      <c r="E4" s="12"/>
      <c r="F4" s="12"/>
      <c r="G4" s="12"/>
      <c r="H4" s="12"/>
      <c r="I4" s="12"/>
      <c r="J4" s="12"/>
      <c r="K4" s="12"/>
      <c r="L4" s="26" t="s">
        <v>72</v>
      </c>
      <c r="M4" s="26"/>
      <c r="N4" s="26"/>
      <c r="O4" s="26"/>
      <c r="P4" s="26"/>
      <c r="Q4" s="26" t="s">
        <v>119</v>
      </c>
      <c r="R4" s="26"/>
      <c r="S4" s="26"/>
      <c r="T4" s="26"/>
      <c r="U4" s="26"/>
      <c r="V4" s="26" t="s">
        <v>80</v>
      </c>
      <c r="W4" s="26"/>
      <c r="X4" s="26"/>
      <c r="Y4" s="26"/>
      <c r="Z4" s="26"/>
      <c r="AA4" s="26" t="s">
        <v>81</v>
      </c>
      <c r="AB4" s="26"/>
      <c r="AC4" s="26"/>
      <c r="AD4" s="26"/>
      <c r="AE4" s="26"/>
      <c r="AF4" s="26" t="s">
        <v>82</v>
      </c>
      <c r="AG4" s="26"/>
      <c r="AH4" s="26"/>
      <c r="AI4" s="26"/>
      <c r="AJ4" s="12"/>
      <c r="AK4" s="26" t="s">
        <v>83</v>
      </c>
      <c r="AL4" s="26"/>
      <c r="AM4" s="26"/>
      <c r="AN4" s="26"/>
      <c r="AO4" s="26"/>
      <c r="AP4" s="26" t="s">
        <v>84</v>
      </c>
      <c r="AQ4" s="26"/>
      <c r="AR4" s="26"/>
      <c r="AS4" s="26"/>
      <c r="AT4" s="26"/>
      <c r="AU4" s="26" t="s">
        <v>85</v>
      </c>
      <c r="AV4" s="26"/>
      <c r="AW4" s="26"/>
      <c r="AX4" s="26"/>
      <c r="AY4" s="26"/>
      <c r="AZ4" s="26" t="s">
        <v>86</v>
      </c>
      <c r="BA4" s="26"/>
      <c r="BB4" s="26"/>
      <c r="BC4" s="26"/>
      <c r="BD4" s="26"/>
      <c r="BE4" s="9"/>
      <c r="BF4" s="9"/>
      <c r="BG4" s="26" t="s">
        <v>87</v>
      </c>
      <c r="BH4" s="26"/>
    </row>
    <row r="5" spans="2:60" x14ac:dyDescent="0.25">
      <c r="B5" s="12" t="s">
        <v>33</v>
      </c>
      <c r="C5" s="12" t="s">
        <v>39</v>
      </c>
      <c r="D5" s="12" t="s">
        <v>71</v>
      </c>
      <c r="E5" s="12" t="s">
        <v>70</v>
      </c>
      <c r="F5" s="12" t="s">
        <v>69</v>
      </c>
      <c r="G5" s="12" t="s">
        <v>73</v>
      </c>
      <c r="H5" s="12" t="s">
        <v>74</v>
      </c>
      <c r="I5" s="12" t="s">
        <v>75</v>
      </c>
      <c r="J5" s="12" t="s">
        <v>76</v>
      </c>
      <c r="K5" s="12" t="s">
        <v>77</v>
      </c>
      <c r="L5" s="12" t="s">
        <v>35</v>
      </c>
      <c r="M5" s="12" t="s">
        <v>38</v>
      </c>
      <c r="N5" s="12" t="s">
        <v>37</v>
      </c>
      <c r="O5" s="12" t="s">
        <v>36</v>
      </c>
      <c r="P5" s="12" t="s">
        <v>118</v>
      </c>
      <c r="Q5" s="12" t="s">
        <v>35</v>
      </c>
      <c r="R5" s="12" t="s">
        <v>38</v>
      </c>
      <c r="S5" s="12" t="s">
        <v>78</v>
      </c>
      <c r="T5" s="12" t="s">
        <v>79</v>
      </c>
      <c r="U5" s="12" t="s">
        <v>118</v>
      </c>
      <c r="V5" s="12" t="s">
        <v>35</v>
      </c>
      <c r="W5" s="12" t="s">
        <v>38</v>
      </c>
      <c r="X5" s="12" t="s">
        <v>78</v>
      </c>
      <c r="Y5" s="12" t="s">
        <v>79</v>
      </c>
      <c r="Z5" s="12" t="s">
        <v>118</v>
      </c>
      <c r="AA5" s="12" t="s">
        <v>35</v>
      </c>
      <c r="AB5" s="12" t="s">
        <v>38</v>
      </c>
      <c r="AC5" s="12" t="s">
        <v>78</v>
      </c>
      <c r="AD5" s="12" t="s">
        <v>79</v>
      </c>
      <c r="AE5" s="12" t="s">
        <v>118</v>
      </c>
      <c r="AF5" s="12" t="s">
        <v>35</v>
      </c>
      <c r="AG5" s="12" t="s">
        <v>38</v>
      </c>
      <c r="AH5" s="12" t="s">
        <v>78</v>
      </c>
      <c r="AI5" s="12" t="s">
        <v>79</v>
      </c>
      <c r="AJ5" s="12" t="s">
        <v>118</v>
      </c>
      <c r="AK5" s="12" t="s">
        <v>35</v>
      </c>
      <c r="AL5" s="12" t="s">
        <v>38</v>
      </c>
      <c r="AM5" s="12" t="s">
        <v>78</v>
      </c>
      <c r="AN5" s="12" t="s">
        <v>79</v>
      </c>
      <c r="AO5" s="12" t="s">
        <v>118</v>
      </c>
      <c r="AP5" s="12" t="s">
        <v>35</v>
      </c>
      <c r="AQ5" s="12" t="s">
        <v>38</v>
      </c>
      <c r="AR5" s="12" t="s">
        <v>78</v>
      </c>
      <c r="AS5" s="12" t="s">
        <v>79</v>
      </c>
      <c r="AT5" s="12" t="s">
        <v>118</v>
      </c>
      <c r="AU5" s="12" t="s">
        <v>35</v>
      </c>
      <c r="AV5" s="12" t="s">
        <v>38</v>
      </c>
      <c r="AW5" s="12" t="s">
        <v>78</v>
      </c>
      <c r="AX5" s="12" t="s">
        <v>79</v>
      </c>
      <c r="AY5" s="12" t="s">
        <v>118</v>
      </c>
      <c r="AZ5" s="12" t="s">
        <v>35</v>
      </c>
      <c r="BA5" s="12" t="s">
        <v>38</v>
      </c>
      <c r="BB5" s="12" t="s">
        <v>78</v>
      </c>
      <c r="BC5" s="12" t="s">
        <v>79</v>
      </c>
      <c r="BD5" s="12" t="s">
        <v>118</v>
      </c>
      <c r="BE5" s="9"/>
      <c r="BF5" s="9"/>
      <c r="BG5" s="11" t="s">
        <v>71</v>
      </c>
      <c r="BH5" s="9" t="s">
        <v>88</v>
      </c>
    </row>
    <row r="6" spans="2:60" s="4" customFormat="1" x14ac:dyDescent="0.25">
      <c r="B6" s="4" t="s">
        <v>89</v>
      </c>
      <c r="C6" s="5" t="s">
        <v>40</v>
      </c>
      <c r="D6" s="5"/>
      <c r="E6" s="5"/>
      <c r="F6" s="7">
        <v>0.38958333333333334</v>
      </c>
      <c r="G6" s="8">
        <v>9.9855999999999998</v>
      </c>
      <c r="H6" s="8">
        <v>18.856000000000002</v>
      </c>
      <c r="I6" s="8">
        <v>14.5649</v>
      </c>
      <c r="J6" s="8">
        <f>H6-I6</f>
        <v>4.2911000000000019</v>
      </c>
      <c r="K6" s="8">
        <f>I6-G6</f>
        <v>4.5792999999999999</v>
      </c>
      <c r="L6" s="19">
        <v>168297</v>
      </c>
      <c r="M6" s="19">
        <v>38068</v>
      </c>
      <c r="N6" s="19">
        <v>9215418</v>
      </c>
      <c r="O6" s="19">
        <v>173722</v>
      </c>
      <c r="P6" s="19">
        <v>1878199</v>
      </c>
      <c r="Q6" s="5">
        <f>(L6+41130)/9817.1</f>
        <v>21.332878344928744</v>
      </c>
      <c r="R6" s="5">
        <f>(M6-895.67)/4.4253</f>
        <v>8399.9570650577371</v>
      </c>
      <c r="S6" s="5">
        <f>(N6-135841)/69413</f>
        <v>130.8051373661994</v>
      </c>
      <c r="T6" s="5">
        <f t="shared" ref="T6:T36" si="0">(4*10^-9*O6)+0.0001</f>
        <v>7.948880000000001E-4</v>
      </c>
      <c r="U6" s="5">
        <f>(P6+4076.7)/5248.6</f>
        <v>358.62433791868307</v>
      </c>
      <c r="V6" s="5">
        <f>Q6/1000*1.2381</f>
        <v>2.6412236678856279E-2</v>
      </c>
      <c r="W6" s="5">
        <f>R6/1000*1.64^-1</f>
        <v>5.1219250396693523</v>
      </c>
      <c r="X6" s="5">
        <f>S6/1000*1.8084</f>
        <v>0.23654801041303497</v>
      </c>
      <c r="Y6" s="5">
        <f>T6/1000*6.0383</f>
        <v>4.7997722104000003E-6</v>
      </c>
      <c r="Z6" s="5">
        <f>U6/1000*6.57*10^-1</f>
        <v>0.23561619001257481</v>
      </c>
      <c r="AA6" s="5">
        <f>(Q6/1000000)*0.0019*30.07*1000</f>
        <v>1.2188113384808139E-3</v>
      </c>
      <c r="AB6" s="5">
        <f>(R6/1000000)*0.00037*4*1000</f>
        <v>1.243193645628545E-2</v>
      </c>
      <c r="AC6" s="5">
        <f>(S6/1000000)*0.0245*44.01*1000</f>
        <v>0.14103998533941764</v>
      </c>
      <c r="AD6" s="5">
        <f>(T6/1000000)*0.00024*146.06*1000</f>
        <v>2.7864321907200004E-8</v>
      </c>
      <c r="AE6" s="5">
        <f>(U6/1000000)*0.0015*16.04*1000</f>
        <v>8.6285015703235161E-3</v>
      </c>
      <c r="AF6" s="5">
        <f>(V6*J6/1000)+(AA6*K6/1000)</f>
        <v>1.1891885157494542E-4</v>
      </c>
      <c r="AG6" s="5">
        <f>(W6*J6/1000)+(AB6*K6/1000)</f>
        <v>2.2035622104339434E-2</v>
      </c>
      <c r="AH6" s="5">
        <f>(X6*J6/1000)+(AC6*K6/1000)</f>
        <v>1.6609155723481702E-3</v>
      </c>
      <c r="AI6" s="5">
        <f>(Y6*J6/1000)+(AD6*K6/1000)</f>
        <v>2.0723901621357088E-8</v>
      </c>
      <c r="AJ6" s="5">
        <f>(Z6*J6/1000)+(AE6*K6/1000)</f>
        <v>1.0505651302039427E-3</v>
      </c>
      <c r="AK6" s="5">
        <f>AF6/K6*1000</f>
        <v>2.5968783782443914E-2</v>
      </c>
      <c r="AL6" s="5">
        <f>AG6/K6*1000</f>
        <v>4.8120066613542321</v>
      </c>
      <c r="AM6" s="5">
        <f>AH6/K6*1000</f>
        <v>0.36270075608677532</v>
      </c>
      <c r="AN6" s="5">
        <f>AI6/K6*1000</f>
        <v>4.5255610292745813E-6</v>
      </c>
      <c r="AO6" s="5">
        <f>AJ6/K6*1000</f>
        <v>0.229416096391139</v>
      </c>
      <c r="AP6" s="5"/>
      <c r="AQ6" s="5"/>
      <c r="AR6" s="5"/>
      <c r="AS6" s="5"/>
      <c r="AT6" s="5"/>
      <c r="BF6" s="18" t="s">
        <v>40</v>
      </c>
      <c r="BG6" s="11"/>
      <c r="BH6" s="16">
        <v>0.99151903699274724</v>
      </c>
    </row>
    <row r="7" spans="2:60" s="4" customFormat="1" x14ac:dyDescent="0.25">
      <c r="B7" s="4" t="s">
        <v>90</v>
      </c>
      <c r="C7" s="5" t="s">
        <v>41</v>
      </c>
      <c r="D7" s="5"/>
      <c r="E7" s="5"/>
      <c r="F7" s="7">
        <v>0.39027777777777778</v>
      </c>
      <c r="G7" s="8">
        <v>9.9284999999999997</v>
      </c>
      <c r="H7" s="8">
        <v>18.741099999999999</v>
      </c>
      <c r="I7" s="8">
        <v>14.659000000000001</v>
      </c>
      <c r="J7" s="8">
        <f t="shared" ref="J7:J36" si="1">H7-I7</f>
        <v>4.0820999999999987</v>
      </c>
      <c r="K7" s="8">
        <f t="shared" ref="K7:K36" si="2">I7-G7</f>
        <v>4.730500000000001</v>
      </c>
      <c r="L7" s="19">
        <v>189562</v>
      </c>
      <c r="M7" s="19">
        <v>40905</v>
      </c>
      <c r="N7" s="19">
        <v>9939135</v>
      </c>
      <c r="O7" s="19">
        <v>196117</v>
      </c>
      <c r="P7" s="19">
        <v>2104939</v>
      </c>
      <c r="Q7" s="5">
        <f t="shared" ref="Q7:Q36" si="3">(L7+41130)/9817.1</f>
        <v>23.498996648704811</v>
      </c>
      <c r="R7" s="5">
        <f t="shared" ref="R7:R36" si="4">(M7-895.67)/4.4253</f>
        <v>9041.0435450703917</v>
      </c>
      <c r="S7" s="5">
        <f t="shared" ref="S7:S36" si="5">(N7-135841)/69413</f>
        <v>141.23138317029952</v>
      </c>
      <c r="T7" s="5">
        <f t="shared" si="0"/>
        <v>8.8446800000000012E-4</v>
      </c>
      <c r="U7" s="5">
        <f t="shared" ref="U7:U36" si="6">(P7+4076.7)/5248.6</f>
        <v>401.824429371642</v>
      </c>
      <c r="V7" s="5">
        <f t="shared" ref="V7:V36" si="7">Q7/1000*1.2381</f>
        <v>2.9094107750761423E-2</v>
      </c>
      <c r="W7" s="5">
        <f t="shared" ref="W7:W36" si="8">R7/1000*1.64^-1</f>
        <v>5.5128314299209711</v>
      </c>
      <c r="X7" s="5">
        <f t="shared" ref="X7:X36" si="9">S7/1000*1.8084</f>
        <v>0.25540283332516966</v>
      </c>
      <c r="Y7" s="5">
        <f t="shared" ref="Y7:Y36" si="10">T7/1000*6.0383</f>
        <v>5.3406831244E-6</v>
      </c>
      <c r="Z7" s="5">
        <f t="shared" ref="Z7:Z36" si="11">U7/1000*6.57*10^-1</f>
        <v>0.26399865009716883</v>
      </c>
      <c r="AA7" s="5">
        <f t="shared" ref="AA7:AA36" si="12">(Q7/1000000)*0.0019*30.07*1000</f>
        <v>1.3425681755304519E-3</v>
      </c>
      <c r="AB7" s="5">
        <f t="shared" ref="AB7:AB36" si="13">(R7/1000000)*0.00037*4*1000</f>
        <v>1.3380744446704179E-2</v>
      </c>
      <c r="AC7" s="5">
        <f t="shared" ref="AC7:AC36" si="14">(S7/1000000)*0.0245*44.01*1000</f>
        <v>0.1522820327464596</v>
      </c>
      <c r="AD7" s="5">
        <f t="shared" ref="AD7:AD36" si="15">(T7/1000000)*0.00024*146.06*1000</f>
        <v>3.1004495059200013E-8</v>
      </c>
      <c r="AE7" s="5">
        <f t="shared" ref="AE7:AE36" si="16">(U7/1000000)*0.0015*16.04*1000</f>
        <v>9.6678957706817052E-3</v>
      </c>
      <c r="AF7" s="5">
        <f t="shared" ref="AF7:AF36" si="17">(V7*J7/1000)+(AA7*K7/1000)</f>
        <v>1.2511607600372996E-4</v>
      </c>
      <c r="AG7" s="5">
        <f t="shared" ref="AG7:AG36" si="18">(W7*J7/1000)+(AB7*K7/1000)</f>
        <v>2.2567226791685522E-2</v>
      </c>
      <c r="AH7" s="5">
        <f t="shared" ref="AH7:AH36" si="19">(X7*J7/1000)+(AC7*K7/1000)</f>
        <v>1.7629500618238018E-3</v>
      </c>
      <c r="AI7" s="5">
        <f t="shared" ref="AI7:AI36" si="20">(Y7*J7/1000)+(AD7*K7/1000)</f>
        <v>2.1947869345990781E-8</v>
      </c>
      <c r="AJ7" s="5">
        <f t="shared" ref="AJ7:AJ36" si="21">(Z7*J7/1000)+(AE7*K7/1000)</f>
        <v>1.1234028705048623E-3</v>
      </c>
      <c r="AK7" s="5">
        <f t="shared" ref="AK7:AK36" si="22">AF7/K7*1000</f>
        <v>2.6448805835266872E-2</v>
      </c>
      <c r="AL7" s="5">
        <f t="shared" ref="AL7:AL36" si="23">AG7/K7*1000</f>
        <v>4.7705795987074335</v>
      </c>
      <c r="AM7" s="5">
        <f t="shared" ref="AM7:AM36" si="24">AH7/K7*1000</f>
        <v>0.37267731990779018</v>
      </c>
      <c r="AN7" s="5">
        <f t="shared" ref="AN7:AN36" si="25">AI7/K7*1000</f>
        <v>4.6396510614080489E-6</v>
      </c>
      <c r="AO7" s="5">
        <f t="shared" ref="AO7:AO36" si="26">AJ7/K7*1000</f>
        <v>0.23748078860688346</v>
      </c>
      <c r="AP7" s="5"/>
      <c r="AQ7" s="5"/>
      <c r="AR7" s="5"/>
      <c r="AS7" s="5"/>
      <c r="AT7" s="5"/>
      <c r="BF7" s="18" t="s">
        <v>41</v>
      </c>
      <c r="BG7" s="11"/>
      <c r="BH7" s="16">
        <v>1.0044468863715494</v>
      </c>
    </row>
    <row r="8" spans="2:60" s="4" customFormat="1" x14ac:dyDescent="0.25">
      <c r="B8" s="4" t="s">
        <v>91</v>
      </c>
      <c r="C8" s="5" t="s">
        <v>42</v>
      </c>
      <c r="D8" s="5"/>
      <c r="E8" s="5"/>
      <c r="F8" s="7">
        <v>0.39097222222222222</v>
      </c>
      <c r="G8" s="8">
        <v>9.9741999999999997</v>
      </c>
      <c r="H8" s="8">
        <v>18.96</v>
      </c>
      <c r="I8" s="8">
        <v>14.8665</v>
      </c>
      <c r="J8" s="8">
        <f t="shared" si="1"/>
        <v>4.0935000000000006</v>
      </c>
      <c r="K8" s="8">
        <f t="shared" si="2"/>
        <v>4.8923000000000005</v>
      </c>
      <c r="L8" s="19">
        <v>195875</v>
      </c>
      <c r="M8" s="19">
        <v>41811</v>
      </c>
      <c r="N8" s="19">
        <v>10213516</v>
      </c>
      <c r="O8" s="19">
        <v>204801</v>
      </c>
      <c r="P8" s="19">
        <v>2197463</v>
      </c>
      <c r="Q8" s="5">
        <f t="shared" si="3"/>
        <v>24.142058245306657</v>
      </c>
      <c r="R8" s="5">
        <f t="shared" si="4"/>
        <v>9245.775427654622</v>
      </c>
      <c r="S8" s="5">
        <f t="shared" si="5"/>
        <v>145.18425943267113</v>
      </c>
      <c r="T8" s="5">
        <f t="shared" si="0"/>
        <v>9.1920400000000007E-4</v>
      </c>
      <c r="U8" s="5">
        <f t="shared" si="6"/>
        <v>419.45274930457646</v>
      </c>
      <c r="V8" s="5">
        <f t="shared" si="7"/>
        <v>2.9890282313514174E-2</v>
      </c>
      <c r="W8" s="5">
        <f t="shared" si="8"/>
        <v>5.6376679436918433</v>
      </c>
      <c r="X8" s="5">
        <f t="shared" si="9"/>
        <v>0.26255121475804249</v>
      </c>
      <c r="Y8" s="5">
        <f t="shared" si="10"/>
        <v>5.5504295131999998E-6</v>
      </c>
      <c r="Z8" s="5">
        <f t="shared" si="11"/>
        <v>0.27558045629310673</v>
      </c>
      <c r="AA8" s="5">
        <f t="shared" si="12"/>
        <v>1.379308213729105E-3</v>
      </c>
      <c r="AB8" s="5">
        <f t="shared" si="13"/>
        <v>1.3683747632928839E-2</v>
      </c>
      <c r="AC8" s="5">
        <f t="shared" si="14"/>
        <v>0.15654420181198045</v>
      </c>
      <c r="AD8" s="5">
        <f t="shared" si="15"/>
        <v>3.2222144697599999E-8</v>
      </c>
      <c r="AE8" s="5">
        <f t="shared" si="16"/>
        <v>1.009203314826811E-2</v>
      </c>
      <c r="AF8" s="5">
        <f t="shared" si="17"/>
        <v>1.2910386022439718E-4</v>
      </c>
      <c r="AG8" s="5">
        <f t="shared" si="18"/>
        <v>2.3144738726047141E-2</v>
      </c>
      <c r="AH8" s="5">
        <f t="shared" si="19"/>
        <v>1.8406145961367992E-3</v>
      </c>
      <c r="AI8" s="5">
        <f t="shared" si="20"/>
        <v>2.287832361078827E-8</v>
      </c>
      <c r="AJ8" s="5">
        <f t="shared" si="21"/>
        <v>1.1774618516071048E-3</v>
      </c>
      <c r="AK8" s="5">
        <f t="shared" si="22"/>
        <v>2.638919531189771E-2</v>
      </c>
      <c r="AL8" s="5">
        <f t="shared" si="23"/>
        <v>4.7308502598056412</v>
      </c>
      <c r="AM8" s="5">
        <f t="shared" si="24"/>
        <v>0.37622684547897695</v>
      </c>
      <c r="AN8" s="5">
        <f t="shared" si="25"/>
        <v>4.6763942543973732E-6</v>
      </c>
      <c r="AO8" s="5">
        <f t="shared" si="26"/>
        <v>0.24067654305890984</v>
      </c>
      <c r="AP8" s="5"/>
      <c r="AQ8" s="5"/>
      <c r="AR8" s="5"/>
      <c r="AS8" s="5"/>
      <c r="AT8" s="5"/>
      <c r="BF8" s="18" t="s">
        <v>42</v>
      </c>
      <c r="BG8" s="11"/>
      <c r="BH8" s="16">
        <v>1.0376244489136934</v>
      </c>
    </row>
    <row r="9" spans="2:60" x14ac:dyDescent="0.25">
      <c r="B9" s="11" t="s">
        <v>92</v>
      </c>
      <c r="C9" s="12" t="s">
        <v>133</v>
      </c>
      <c r="D9" s="12"/>
      <c r="E9" s="12"/>
      <c r="F9" s="10">
        <v>0.41736111111111113</v>
      </c>
      <c r="G9" s="13">
        <v>9.9315999999999995</v>
      </c>
      <c r="H9" s="13">
        <v>18.783200000000001</v>
      </c>
      <c r="I9" s="13">
        <v>14.6395</v>
      </c>
      <c r="J9" s="13">
        <f t="shared" si="1"/>
        <v>4.1437000000000008</v>
      </c>
      <c r="K9" s="13">
        <f t="shared" si="2"/>
        <v>4.7079000000000004</v>
      </c>
      <c r="L9" s="16" t="s">
        <v>1</v>
      </c>
      <c r="M9" s="17" t="s">
        <v>1</v>
      </c>
      <c r="N9" s="17">
        <v>141792</v>
      </c>
      <c r="O9" s="16" t="s">
        <v>1</v>
      </c>
      <c r="P9" s="17">
        <v>32436</v>
      </c>
      <c r="Q9" s="12">
        <v>0</v>
      </c>
      <c r="R9" s="12">
        <v>0</v>
      </c>
      <c r="S9" s="12">
        <f t="shared" si="5"/>
        <v>8.5733220002016913E-2</v>
      </c>
      <c r="T9" s="12">
        <v>0</v>
      </c>
      <c r="U9" s="12">
        <f t="shared" si="6"/>
        <v>6.9566551080288068</v>
      </c>
      <c r="V9" s="12">
        <f t="shared" si="7"/>
        <v>0</v>
      </c>
      <c r="W9" s="12">
        <f t="shared" si="8"/>
        <v>0</v>
      </c>
      <c r="X9" s="12">
        <f t="shared" si="9"/>
        <v>1.550399550516474E-4</v>
      </c>
      <c r="Y9" s="12">
        <f t="shared" si="10"/>
        <v>0</v>
      </c>
      <c r="Z9" s="12">
        <f t="shared" si="11"/>
        <v>4.5705224059749269E-3</v>
      </c>
      <c r="AA9" s="12">
        <f t="shared" si="12"/>
        <v>0</v>
      </c>
      <c r="AB9" s="12">
        <f t="shared" si="13"/>
        <v>0</v>
      </c>
      <c r="AC9" s="12">
        <f t="shared" si="14"/>
        <v>9.2441415801074728E-5</v>
      </c>
      <c r="AD9" s="12">
        <f t="shared" si="15"/>
        <v>0</v>
      </c>
      <c r="AE9" s="12">
        <f t="shared" si="16"/>
        <v>1.6737712189917309E-4</v>
      </c>
      <c r="AF9" s="12">
        <f t="shared" si="17"/>
        <v>0</v>
      </c>
      <c r="AG9" s="12">
        <f t="shared" si="18"/>
        <v>0</v>
      </c>
      <c r="AH9" s="12">
        <f t="shared" si="19"/>
        <v>1.0776440031973912E-6</v>
      </c>
      <c r="AI9" s="12">
        <f t="shared" si="20"/>
        <v>0</v>
      </c>
      <c r="AJ9" s="12">
        <f t="shared" si="21"/>
        <v>1.9726868445827425E-5</v>
      </c>
      <c r="AK9" s="12">
        <f t="shared" si="22"/>
        <v>0</v>
      </c>
      <c r="AL9" s="12">
        <f t="shared" si="23"/>
        <v>0</v>
      </c>
      <c r="AM9" s="12">
        <f t="shared" si="24"/>
        <v>2.2890120928596426E-4</v>
      </c>
      <c r="AN9" s="12">
        <f t="shared" si="25"/>
        <v>0</v>
      </c>
      <c r="AO9" s="12">
        <f t="shared" si="26"/>
        <v>4.1901630123467835E-3</v>
      </c>
      <c r="AP9" s="12"/>
      <c r="AQ9" s="12"/>
      <c r="AR9" s="12"/>
      <c r="AS9" s="12"/>
      <c r="AT9" s="12"/>
      <c r="AU9" s="11">
        <f>AVERAGE(AK6:AK8)</f>
        <v>2.6268928309869499E-2</v>
      </c>
      <c r="AV9" s="11">
        <f t="shared" ref="AV9:AY9" si="27">AVERAGE(AL6:AL8)</f>
        <v>4.7711455066224353</v>
      </c>
      <c r="AW9" s="11">
        <f t="shared" si="27"/>
        <v>0.37053497382451411</v>
      </c>
      <c r="AX9" s="11">
        <f t="shared" si="27"/>
        <v>4.6138687816933339E-6</v>
      </c>
      <c r="AY9" s="11">
        <f t="shared" si="27"/>
        <v>0.23585780935231079</v>
      </c>
      <c r="BF9" s="18" t="s">
        <v>133</v>
      </c>
      <c r="BH9" s="16" t="e">
        <v>#VALUE!</v>
      </c>
    </row>
    <row r="10" spans="2:60" x14ac:dyDescent="0.25">
      <c r="B10" s="11" t="s">
        <v>93</v>
      </c>
      <c r="C10" s="12" t="s">
        <v>134</v>
      </c>
      <c r="D10" s="12"/>
      <c r="E10" s="12"/>
      <c r="F10" s="10">
        <v>0.41805555555555557</v>
      </c>
      <c r="G10" s="13">
        <v>9.9527999999999999</v>
      </c>
      <c r="H10" s="13">
        <v>19.016300000000001</v>
      </c>
      <c r="I10" s="13">
        <v>14.9534</v>
      </c>
      <c r="J10" s="13">
        <f t="shared" si="1"/>
        <v>4.0629000000000008</v>
      </c>
      <c r="K10" s="13">
        <f t="shared" si="2"/>
        <v>5.0006000000000004</v>
      </c>
      <c r="L10" s="16" t="s">
        <v>1</v>
      </c>
      <c r="M10" s="17" t="s">
        <v>1</v>
      </c>
      <c r="N10" s="17">
        <v>159856</v>
      </c>
      <c r="O10" s="16" t="s">
        <v>1</v>
      </c>
      <c r="P10" s="17">
        <v>29865</v>
      </c>
      <c r="Q10" s="12">
        <v>0</v>
      </c>
      <c r="R10" s="12">
        <v>0</v>
      </c>
      <c r="S10" s="12">
        <f t="shared" si="5"/>
        <v>0.34597265641882646</v>
      </c>
      <c r="T10" s="12">
        <v>0</v>
      </c>
      <c r="U10" s="12">
        <f t="shared" si="6"/>
        <v>6.4668101970049143</v>
      </c>
      <c r="V10" s="12">
        <f t="shared" si="7"/>
        <v>0</v>
      </c>
      <c r="W10" s="12">
        <f t="shared" si="8"/>
        <v>0</v>
      </c>
      <c r="X10" s="12">
        <f t="shared" si="9"/>
        <v>6.2565695186780576E-4</v>
      </c>
      <c r="Y10" s="12">
        <f t="shared" si="10"/>
        <v>0</v>
      </c>
      <c r="Z10" s="12">
        <f t="shared" si="11"/>
        <v>4.2486942994322289E-3</v>
      </c>
      <c r="AA10" s="12">
        <f t="shared" si="12"/>
        <v>0</v>
      </c>
      <c r="AB10" s="12">
        <f t="shared" si="13"/>
        <v>0</v>
      </c>
      <c r="AC10" s="12">
        <f t="shared" si="14"/>
        <v>3.7304328692031757E-4</v>
      </c>
      <c r="AD10" s="12">
        <f t="shared" si="15"/>
        <v>0</v>
      </c>
      <c r="AE10" s="12">
        <f t="shared" si="16"/>
        <v>1.5559145333993824E-4</v>
      </c>
      <c r="AF10" s="12">
        <f t="shared" si="17"/>
        <v>0</v>
      </c>
      <c r="AG10" s="12">
        <f t="shared" si="18"/>
        <v>0</v>
      </c>
      <c r="AH10" s="12">
        <f t="shared" si="19"/>
        <v>4.4074218903174492E-6</v>
      </c>
      <c r="AI10" s="12">
        <f t="shared" si="20"/>
        <v>0</v>
      </c>
      <c r="AJ10" s="12">
        <f t="shared" si="21"/>
        <v>1.8040070690734899E-5</v>
      </c>
      <c r="AK10" s="12">
        <f t="shared" si="22"/>
        <v>0</v>
      </c>
      <c r="AL10" s="12">
        <f t="shared" si="23"/>
        <v>0</v>
      </c>
      <c r="AM10" s="12">
        <f t="shared" si="24"/>
        <v>8.8137861262997414E-4</v>
      </c>
      <c r="AN10" s="12">
        <f t="shared" si="25"/>
        <v>0</v>
      </c>
      <c r="AO10" s="12">
        <f t="shared" si="26"/>
        <v>3.6075812283995717E-3</v>
      </c>
      <c r="AP10" s="12"/>
      <c r="AQ10" s="12"/>
      <c r="AR10" s="12"/>
      <c r="AS10" s="12"/>
      <c r="AT10" s="12"/>
      <c r="BF10" s="18" t="s">
        <v>134</v>
      </c>
      <c r="BH10" s="16" t="e">
        <v>#VALUE!</v>
      </c>
    </row>
    <row r="11" spans="2:60" x14ac:dyDescent="0.25">
      <c r="B11" s="11" t="s">
        <v>94</v>
      </c>
      <c r="C11" s="12" t="s">
        <v>120</v>
      </c>
      <c r="D11" s="12"/>
      <c r="E11" s="12"/>
      <c r="F11" s="10">
        <v>0.41875000000000001</v>
      </c>
      <c r="G11" s="13">
        <v>9.9415999999999993</v>
      </c>
      <c r="H11" s="13">
        <v>18.7273</v>
      </c>
      <c r="I11" s="13">
        <v>14.5509</v>
      </c>
      <c r="J11" s="13">
        <f t="shared" si="1"/>
        <v>4.1763999999999992</v>
      </c>
      <c r="K11" s="13">
        <f t="shared" si="2"/>
        <v>4.6093000000000011</v>
      </c>
      <c r="L11" s="16" t="s">
        <v>1</v>
      </c>
      <c r="M11" s="17" t="s">
        <v>1</v>
      </c>
      <c r="N11" s="17">
        <v>111441</v>
      </c>
      <c r="O11" s="16" t="s">
        <v>1</v>
      </c>
      <c r="P11" s="17">
        <v>28385</v>
      </c>
      <c r="Q11" s="12">
        <v>0</v>
      </c>
      <c r="R11" s="12">
        <v>0</v>
      </c>
      <c r="S11" s="12">
        <f t="shared" si="5"/>
        <v>-0.35151916787921572</v>
      </c>
      <c r="T11" s="12">
        <v>0</v>
      </c>
      <c r="U11" s="12">
        <f t="shared" si="6"/>
        <v>6.1848302404450708</v>
      </c>
      <c r="V11" s="12">
        <f t="shared" si="7"/>
        <v>0</v>
      </c>
      <c r="W11" s="12">
        <f t="shared" si="8"/>
        <v>0</v>
      </c>
      <c r="X11" s="12">
        <f t="shared" si="9"/>
        <v>-6.356872631927738E-4</v>
      </c>
      <c r="Y11" s="12">
        <f t="shared" si="10"/>
        <v>0</v>
      </c>
      <c r="Z11" s="12">
        <f t="shared" si="11"/>
        <v>4.0634334679724117E-3</v>
      </c>
      <c r="AA11" s="12">
        <f t="shared" si="12"/>
        <v>0</v>
      </c>
      <c r="AB11" s="12">
        <f t="shared" si="13"/>
        <v>0</v>
      </c>
      <c r="AC11" s="12">
        <f t="shared" si="14"/>
        <v>-3.7902378516992493E-4</v>
      </c>
      <c r="AD11" s="12">
        <f t="shared" si="15"/>
        <v>0</v>
      </c>
      <c r="AE11" s="12">
        <f t="shared" si="16"/>
        <v>1.4880701558510841E-4</v>
      </c>
      <c r="AF11" s="12">
        <f t="shared" si="17"/>
        <v>0</v>
      </c>
      <c r="AG11" s="12">
        <f t="shared" si="18"/>
        <v>0</v>
      </c>
      <c r="AH11" s="12">
        <f t="shared" si="19"/>
        <v>-4.4019186189820353E-6</v>
      </c>
      <c r="AI11" s="12">
        <f t="shared" si="20"/>
        <v>0</v>
      </c>
      <c r="AJ11" s="12">
        <f t="shared" si="21"/>
        <v>1.7656419712576419E-5</v>
      </c>
      <c r="AK11" s="12">
        <f t="shared" si="22"/>
        <v>0</v>
      </c>
      <c r="AL11" s="12">
        <f t="shared" si="23"/>
        <v>0</v>
      </c>
      <c r="AM11" s="12">
        <f t="shared" si="24"/>
        <v>-9.5500805306272861E-4</v>
      </c>
      <c r="AN11" s="12">
        <f t="shared" si="25"/>
        <v>0</v>
      </c>
      <c r="AO11" s="12">
        <f t="shared" si="26"/>
        <v>3.830607622106701E-3</v>
      </c>
      <c r="AP11" s="12"/>
      <c r="AQ11" s="12"/>
      <c r="AR11" s="12"/>
      <c r="AS11" s="12"/>
      <c r="AT11" s="12"/>
      <c r="BF11" s="18" t="s">
        <v>120</v>
      </c>
      <c r="BH11" s="16" t="e">
        <v>#VALUE!</v>
      </c>
    </row>
    <row r="12" spans="2:60" s="20" customFormat="1" x14ac:dyDescent="0.25">
      <c r="B12" s="20" t="s">
        <v>95</v>
      </c>
      <c r="C12" s="21" t="s">
        <v>117</v>
      </c>
      <c r="D12" s="22">
        <f>E12*1440</f>
        <v>20.000000000000007</v>
      </c>
      <c r="E12" s="23">
        <f>F12-$F$3</f>
        <v>1.3888888888888895E-2</v>
      </c>
      <c r="F12" s="23">
        <v>0.43472222222222223</v>
      </c>
      <c r="G12" s="24">
        <v>9.9021000000000008</v>
      </c>
      <c r="H12" s="24">
        <v>18.982600000000001</v>
      </c>
      <c r="I12" s="24">
        <v>14.736700000000001</v>
      </c>
      <c r="J12" s="24">
        <f t="shared" si="1"/>
        <v>4.2459000000000007</v>
      </c>
      <c r="K12" s="24">
        <f t="shared" si="2"/>
        <v>4.8346</v>
      </c>
      <c r="L12" s="20" t="s">
        <v>1</v>
      </c>
      <c r="M12" s="25" t="s">
        <v>1</v>
      </c>
      <c r="N12" s="25">
        <v>137594</v>
      </c>
      <c r="O12" s="20" t="s">
        <v>1</v>
      </c>
      <c r="P12" s="25">
        <v>34369</v>
      </c>
      <c r="Q12" s="21">
        <v>0</v>
      </c>
      <c r="R12" s="21">
        <v>0</v>
      </c>
      <c r="S12" s="21">
        <f t="shared" si="5"/>
        <v>2.5254635298863324E-2</v>
      </c>
      <c r="T12" s="21">
        <v>0</v>
      </c>
      <c r="U12" s="21">
        <f t="shared" si="6"/>
        <v>7.3249437945356846</v>
      </c>
      <c r="V12" s="21">
        <f t="shared" si="7"/>
        <v>0</v>
      </c>
      <c r="W12" s="21">
        <f t="shared" si="8"/>
        <v>0</v>
      </c>
      <c r="X12" s="21">
        <f t="shared" si="9"/>
        <v>4.5670482474464435E-5</v>
      </c>
      <c r="Y12" s="21">
        <f t="shared" si="10"/>
        <v>0</v>
      </c>
      <c r="Z12" s="21">
        <f t="shared" si="11"/>
        <v>4.8124880730099455E-3</v>
      </c>
      <c r="AA12" s="21">
        <f t="shared" si="12"/>
        <v>0</v>
      </c>
      <c r="AB12" s="21">
        <f t="shared" si="13"/>
        <v>0</v>
      </c>
      <c r="AC12" s="21">
        <f t="shared" si="14"/>
        <v>2.7230684237822884E-5</v>
      </c>
      <c r="AD12" s="21">
        <f t="shared" si="15"/>
        <v>0</v>
      </c>
      <c r="AE12" s="21">
        <f t="shared" si="16"/>
        <v>1.7623814769652857E-4</v>
      </c>
      <c r="AF12" s="21">
        <f t="shared" si="17"/>
        <v>0</v>
      </c>
      <c r="AG12" s="21">
        <f t="shared" si="18"/>
        <v>0</v>
      </c>
      <c r="AH12" s="21">
        <f t="shared" si="19"/>
        <v>3.2556176755450706E-7</v>
      </c>
      <c r="AI12" s="21">
        <f t="shared" si="20"/>
        <v>0</v>
      </c>
      <c r="AJ12" s="21">
        <f t="shared" si="21"/>
        <v>2.1285384058046569E-5</v>
      </c>
      <c r="AK12" s="21">
        <f t="shared" si="22"/>
        <v>0</v>
      </c>
      <c r="AL12" s="21">
        <f t="shared" si="23"/>
        <v>0</v>
      </c>
      <c r="AM12" s="21">
        <f t="shared" si="24"/>
        <v>6.7339959366753628E-5</v>
      </c>
      <c r="AN12" s="21">
        <f t="shared" si="25"/>
        <v>0</v>
      </c>
      <c r="AO12" s="21">
        <f t="shared" si="26"/>
        <v>4.4027187477860778E-3</v>
      </c>
      <c r="AP12" s="21">
        <f t="shared" ref="AP12:AP13" si="28">AK12-(AVERAGE($AK$9:$AK$11))</f>
        <v>0</v>
      </c>
      <c r="AQ12" s="21">
        <f t="shared" ref="AQ12:AQ36" si="29">IF(AL12-(AVERAGE($AL$9:$AL$11))&lt;0,0,AL12-(AVERAGE($AL$9:$AL$11)))</f>
        <v>0</v>
      </c>
      <c r="AR12" s="21">
        <f t="shared" ref="AR12:AR13" si="30">IF(AM12-(AVERAGE($AM$9:$AM$11))&lt;0,0,AM12-(AVERAGE($AM$9:$AM$11)))</f>
        <v>1.5582703082350384E-5</v>
      </c>
      <c r="AS12" s="21">
        <f t="shared" ref="AS12:AS36" si="31">IF(AN12-(AVERAGE($AN$9:$AN$11))&lt;0,0,AN12-(AVERAGE($AN$9:$AN$11)))</f>
        <v>0</v>
      </c>
      <c r="AT12" s="21">
        <f>IF(AO12-(AVERAGE($AO$9:$AO$11))&lt;0,0,AO12-(AVERAGE($AO$9:$AO$11)))</f>
        <v>5.2660146016839235E-4</v>
      </c>
      <c r="AU12" s="20">
        <f>$AU$9+(($AU$18-$AU$9)/($D$18))*D12</f>
        <v>2.6195975434688486E-2</v>
      </c>
      <c r="AV12" s="20">
        <f>$AV$9+(($AV$18-$AV$9)/($D$18))*D12</f>
        <v>4.6661883582608263</v>
      </c>
      <c r="AW12" s="20">
        <f>$AW$9+(($AW$18-$AW$9)/($D$18))*D12</f>
        <v>0.37157612149976826</v>
      </c>
      <c r="AX12" s="20">
        <f>$AX$9+(($AX$18-$AX$9)/($D$18))*D12</f>
        <v>4.6842823630854714E-6</v>
      </c>
      <c r="AY12" s="20">
        <f>$AY$9+(($AY$18-$AY$9)/($D$18))*D12</f>
        <v>0.23680703420748733</v>
      </c>
      <c r="AZ12" s="20">
        <f t="shared" ref="AZ12:AZ16" si="32">AP12/AU12</f>
        <v>0</v>
      </c>
      <c r="BA12" s="20">
        <f t="shared" ref="BA12:BA16" si="33">AQ12/AV12</f>
        <v>0</v>
      </c>
      <c r="BB12" s="20">
        <f t="shared" ref="BB12:BB36" si="34">AR12/AW12</f>
        <v>4.1936771984849147E-5</v>
      </c>
      <c r="BC12" s="20">
        <f t="shared" ref="BC12" si="35">AS12/AX12</f>
        <v>0</v>
      </c>
      <c r="BD12" s="20">
        <f t="shared" ref="BD12:BD36" si="36">AT12/AY12</f>
        <v>2.2237576765012429E-3</v>
      </c>
      <c r="BF12" s="20" t="s">
        <v>121</v>
      </c>
      <c r="BG12" s="22">
        <v>10</v>
      </c>
      <c r="BH12" s="20">
        <v>3.7373237295082575E-3</v>
      </c>
    </row>
    <row r="13" spans="2:60" x14ac:dyDescent="0.25">
      <c r="B13" s="11" t="s">
        <v>96</v>
      </c>
      <c r="C13" s="12" t="s">
        <v>117</v>
      </c>
      <c r="D13" s="14">
        <f t="shared" ref="D13:D36" si="37">E13*1440</f>
        <v>41.000000000000014</v>
      </c>
      <c r="E13" s="10">
        <f t="shared" ref="E13:E16" si="38">F13-$F$3</f>
        <v>2.8472222222222232E-2</v>
      </c>
      <c r="F13" s="10">
        <v>0.44930555555555557</v>
      </c>
      <c r="G13" s="13">
        <v>10.0145</v>
      </c>
      <c r="H13" s="13">
        <v>18.8963</v>
      </c>
      <c r="I13" s="13">
        <v>14.7639</v>
      </c>
      <c r="J13" s="13">
        <f t="shared" si="1"/>
        <v>4.1324000000000005</v>
      </c>
      <c r="K13" s="13">
        <f t="shared" si="2"/>
        <v>4.7493999999999996</v>
      </c>
      <c r="L13" s="16" t="s">
        <v>1</v>
      </c>
      <c r="M13" s="17" t="s">
        <v>1</v>
      </c>
      <c r="N13" s="17">
        <v>177527</v>
      </c>
      <c r="O13" s="16" t="s">
        <v>1</v>
      </c>
      <c r="P13" s="17">
        <v>30524</v>
      </c>
      <c r="Q13" s="12">
        <v>0</v>
      </c>
      <c r="R13" s="12">
        <v>0</v>
      </c>
      <c r="S13" s="12">
        <f t="shared" si="5"/>
        <v>0.60055032918905682</v>
      </c>
      <c r="T13" s="12">
        <v>0</v>
      </c>
      <c r="U13" s="12">
        <f t="shared" si="6"/>
        <v>6.5923674884731156</v>
      </c>
      <c r="V13" s="12">
        <f t="shared" si="7"/>
        <v>0</v>
      </c>
      <c r="W13" s="12">
        <f t="shared" si="8"/>
        <v>0</v>
      </c>
      <c r="X13" s="12">
        <f t="shared" si="9"/>
        <v>1.0860352153054904E-3</v>
      </c>
      <c r="Y13" s="12">
        <f t="shared" si="10"/>
        <v>0</v>
      </c>
      <c r="Z13" s="12">
        <f t="shared" si="11"/>
        <v>4.3311854399268376E-3</v>
      </c>
      <c r="AA13" s="12">
        <f t="shared" si="12"/>
        <v>0</v>
      </c>
      <c r="AB13" s="12">
        <f t="shared" si="13"/>
        <v>0</v>
      </c>
      <c r="AC13" s="12">
        <f t="shared" si="14"/>
        <v>6.4754038969645452E-4</v>
      </c>
      <c r="AD13" s="12">
        <f t="shared" si="15"/>
        <v>0</v>
      </c>
      <c r="AE13" s="12">
        <f t="shared" si="16"/>
        <v>1.5861236177266316E-4</v>
      </c>
      <c r="AF13" s="12">
        <f t="shared" si="17"/>
        <v>0</v>
      </c>
      <c r="AG13" s="12">
        <f t="shared" si="18"/>
        <v>0</v>
      </c>
      <c r="AH13" s="12">
        <f t="shared" si="19"/>
        <v>7.5633602505527499E-6</v>
      </c>
      <c r="AI13" s="12">
        <f t="shared" si="20"/>
        <v>0</v>
      </c>
      <c r="AJ13" s="12">
        <f t="shared" si="21"/>
        <v>1.865150426295675E-5</v>
      </c>
      <c r="AK13" s="12">
        <f t="shared" si="22"/>
        <v>0</v>
      </c>
      <c r="AL13" s="12">
        <f t="shared" si="23"/>
        <v>0</v>
      </c>
      <c r="AM13" s="12">
        <f t="shared" si="24"/>
        <v>1.5924875248563503E-3</v>
      </c>
      <c r="AN13" s="12">
        <f t="shared" si="25"/>
        <v>0</v>
      </c>
      <c r="AO13" s="12">
        <f t="shared" si="26"/>
        <v>3.9271285347531795E-3</v>
      </c>
      <c r="AP13" s="12">
        <f t="shared" si="28"/>
        <v>0</v>
      </c>
      <c r="AQ13" s="12">
        <f t="shared" si="29"/>
        <v>0</v>
      </c>
      <c r="AR13" s="12">
        <f t="shared" si="30"/>
        <v>1.5407302685719469E-3</v>
      </c>
      <c r="AS13" s="12">
        <f t="shared" si="31"/>
        <v>0</v>
      </c>
      <c r="AT13" s="12">
        <f t="shared" ref="AT13:AT19" si="39">IF(AO13-(AVERAGE($AO$9:$AO$11))&lt;0,0,AO13-(AVERAGE($AO$9:$AO$11)))</f>
        <v>5.1011247135494039E-5</v>
      </c>
      <c r="AU13" s="11">
        <f t="shared" ref="AU13:AU17" si="40">$AU$9+(($AU$18-$AU$9)/($D$18))*D13</f>
        <v>2.6119374915748422E-2</v>
      </c>
      <c r="AV13" s="11">
        <f t="shared" ref="AV13:AV17" si="41">$AV$9+(($AV$18-$AV$9)/($D$18))*D13</f>
        <v>4.5559833524811371</v>
      </c>
      <c r="AW13" s="11">
        <f t="shared" ref="AW13:AW17" si="42">$AW$9+(($AW$18-$AW$9)/($D$18))*D13</f>
        <v>0.3726693265587851</v>
      </c>
      <c r="AX13" s="11">
        <f t="shared" ref="AX13:AX17" si="43">$AX$9+(($AX$18-$AX$9)/($D$18))*D13</f>
        <v>4.7582166235472158E-6</v>
      </c>
      <c r="AY13" s="11">
        <f t="shared" ref="AY13:AY17" si="44">$AY$9+(($AY$18-$AY$9)/($D$18))*D13</f>
        <v>0.23780372030542268</v>
      </c>
      <c r="AZ13" s="11">
        <f t="shared" si="32"/>
        <v>0</v>
      </c>
      <c r="BA13" s="11">
        <f t="shared" si="33"/>
        <v>0</v>
      </c>
      <c r="BB13" s="11">
        <f t="shared" si="34"/>
        <v>4.1343093159799168E-3</v>
      </c>
      <c r="BC13" s="11">
        <f t="shared" ref="BC13:BC27" si="45">AS13/AX13</f>
        <v>0</v>
      </c>
      <c r="BD13" s="11">
        <f t="shared" si="36"/>
        <v>2.1450987844083287E-4</v>
      </c>
      <c r="BF13" s="18" t="s">
        <v>117</v>
      </c>
      <c r="BG13" s="14">
        <v>20.000000000000007</v>
      </c>
      <c r="BH13" s="16">
        <v>7.5216578203939771E-4</v>
      </c>
    </row>
    <row r="14" spans="2:60" x14ac:dyDescent="0.25">
      <c r="B14" s="11" t="s">
        <v>97</v>
      </c>
      <c r="C14" s="12" t="s">
        <v>117</v>
      </c>
      <c r="D14" s="14">
        <f t="shared" si="37"/>
        <v>61.999999999999943</v>
      </c>
      <c r="E14" s="10">
        <f t="shared" si="38"/>
        <v>4.3055555555555514E-2</v>
      </c>
      <c r="F14" s="10">
        <v>0.46388888888888885</v>
      </c>
      <c r="G14" s="13">
        <v>10.029</v>
      </c>
      <c r="H14" s="13">
        <v>18.875699999999998</v>
      </c>
      <c r="I14" s="13">
        <v>15.171799999999999</v>
      </c>
      <c r="J14" s="13">
        <f t="shared" si="1"/>
        <v>3.7038999999999991</v>
      </c>
      <c r="K14" s="13">
        <f t="shared" si="2"/>
        <v>5.1427999999999994</v>
      </c>
      <c r="L14" s="16" t="s">
        <v>1</v>
      </c>
      <c r="M14" s="17" t="s">
        <v>1</v>
      </c>
      <c r="N14" s="17">
        <v>418594</v>
      </c>
      <c r="O14" s="16" t="s">
        <v>1</v>
      </c>
      <c r="P14" s="17">
        <v>45653</v>
      </c>
      <c r="Q14" s="12">
        <v>0</v>
      </c>
      <c r="R14" s="12">
        <v>0</v>
      </c>
      <c r="S14" s="12">
        <f t="shared" si="5"/>
        <v>4.0734876752193392</v>
      </c>
      <c r="T14" s="12">
        <v>0</v>
      </c>
      <c r="U14" s="12">
        <f t="shared" si="6"/>
        <v>9.4748504363068236</v>
      </c>
      <c r="V14" s="12">
        <f t="shared" si="7"/>
        <v>0</v>
      </c>
      <c r="W14" s="12">
        <f t="shared" si="8"/>
        <v>0</v>
      </c>
      <c r="X14" s="12">
        <f t="shared" si="9"/>
        <v>7.3664951118666538E-3</v>
      </c>
      <c r="Y14" s="12">
        <f t="shared" si="10"/>
        <v>0</v>
      </c>
      <c r="Z14" s="12">
        <f t="shared" si="11"/>
        <v>6.2249767366535837E-3</v>
      </c>
      <c r="AA14" s="12">
        <f t="shared" si="12"/>
        <v>0</v>
      </c>
      <c r="AB14" s="12">
        <f t="shared" si="13"/>
        <v>0</v>
      </c>
      <c r="AC14" s="12">
        <f t="shared" si="14"/>
        <v>4.3922177183668767E-3</v>
      </c>
      <c r="AD14" s="12">
        <f t="shared" si="15"/>
        <v>0</v>
      </c>
      <c r="AE14" s="12">
        <f t="shared" si="16"/>
        <v>2.2796490149754216E-4</v>
      </c>
      <c r="AF14" s="12">
        <f t="shared" si="17"/>
        <v>0</v>
      </c>
      <c r="AG14" s="12">
        <f t="shared" si="18"/>
        <v>0</v>
      </c>
      <c r="AH14" s="12">
        <f t="shared" si="19"/>
        <v>4.9873058526860064E-5</v>
      </c>
      <c r="AI14" s="12">
        <f t="shared" si="20"/>
        <v>0</v>
      </c>
      <c r="AJ14" s="12">
        <f t="shared" si="21"/>
        <v>2.4229069230312761E-5</v>
      </c>
      <c r="AK14" s="12">
        <f t="shared" si="22"/>
        <v>0</v>
      </c>
      <c r="AL14" s="12">
        <f t="shared" si="23"/>
        <v>0</v>
      </c>
      <c r="AM14" s="12">
        <f t="shared" si="24"/>
        <v>9.6976469096328975E-3</v>
      </c>
      <c r="AN14" s="12">
        <f t="shared" si="25"/>
        <v>0</v>
      </c>
      <c r="AO14" s="12">
        <f t="shared" si="26"/>
        <v>4.7112602532302953E-3</v>
      </c>
      <c r="AP14" s="12">
        <f>AK14-(AVERAGE($AK$9:$AK$11))</f>
        <v>0</v>
      </c>
      <c r="AQ14" s="12">
        <f>IF(AL14-(AVERAGE($AL$9:$AL$11))&lt;0,0,AL14-(AVERAGE($AL$9:$AL$11)))</f>
        <v>0</v>
      </c>
      <c r="AR14" s="12">
        <f>IF(AM14-(AVERAGE($AM$9:$AM$11))&lt;0,0,AM14-(AVERAGE($AM$9:$AM$11)))</f>
        <v>9.6458896533484946E-3</v>
      </c>
      <c r="AS14" s="12">
        <f>IF(AN14-(AVERAGE($AN$9:$AN$11))&lt;0,0,AN14-(AVERAGE($AN$9:$AN$11)))</f>
        <v>0</v>
      </c>
      <c r="AT14" s="12">
        <f t="shared" si="39"/>
        <v>8.3514296561260993E-4</v>
      </c>
      <c r="AU14" s="11">
        <f t="shared" si="40"/>
        <v>2.6042774396808362E-2</v>
      </c>
      <c r="AV14" s="11">
        <f t="shared" si="41"/>
        <v>4.4457783467014487</v>
      </c>
      <c r="AW14" s="11">
        <f t="shared" si="42"/>
        <v>0.37376253161780193</v>
      </c>
      <c r="AX14" s="11">
        <f t="shared" si="43"/>
        <v>4.8321508840089601E-6</v>
      </c>
      <c r="AY14" s="11">
        <f t="shared" si="44"/>
        <v>0.23880040640335803</v>
      </c>
      <c r="AZ14" s="11">
        <f t="shared" si="32"/>
        <v>0</v>
      </c>
      <c r="BA14" s="11">
        <f t="shared" si="33"/>
        <v>0</v>
      </c>
      <c r="BB14" s="11">
        <f t="shared" si="34"/>
        <v>2.580753509881532E-2</v>
      </c>
      <c r="BC14" s="11">
        <f t="shared" si="45"/>
        <v>0</v>
      </c>
      <c r="BD14" s="11">
        <f t="shared" si="36"/>
        <v>3.4972426479122861E-3</v>
      </c>
      <c r="BF14" s="16" t="s">
        <v>122</v>
      </c>
      <c r="BG14" s="14">
        <v>31</v>
      </c>
      <c r="BH14" s="16">
        <v>0</v>
      </c>
    </row>
    <row r="15" spans="2:60" x14ac:dyDescent="0.25">
      <c r="B15" s="11" t="s">
        <v>98</v>
      </c>
      <c r="C15" s="12" t="s">
        <v>117</v>
      </c>
      <c r="D15" s="14">
        <f t="shared" si="37"/>
        <v>82.999999999999943</v>
      </c>
      <c r="E15" s="10">
        <f t="shared" si="38"/>
        <v>5.7638888888888851E-2</v>
      </c>
      <c r="F15" s="10">
        <v>0.47847222222222219</v>
      </c>
      <c r="G15" s="13">
        <v>10.0364</v>
      </c>
      <c r="H15" s="13">
        <v>18.8948</v>
      </c>
      <c r="I15" s="13">
        <v>14.8314</v>
      </c>
      <c r="J15" s="13">
        <f t="shared" si="1"/>
        <v>4.0633999999999997</v>
      </c>
      <c r="K15" s="13">
        <f t="shared" si="2"/>
        <v>4.7949999999999999</v>
      </c>
      <c r="L15" s="17" t="s">
        <v>1</v>
      </c>
      <c r="M15" s="17" t="s">
        <v>1</v>
      </c>
      <c r="N15" s="17">
        <v>1232530</v>
      </c>
      <c r="O15" s="17">
        <v>8301</v>
      </c>
      <c r="P15" s="17">
        <v>118880</v>
      </c>
      <c r="Q15" s="12">
        <v>0</v>
      </c>
      <c r="R15" s="12" t="e">
        <f t="shared" si="4"/>
        <v>#VALUE!</v>
      </c>
      <c r="S15" s="12">
        <f t="shared" si="5"/>
        <v>15.799475602552835</v>
      </c>
      <c r="T15" s="12">
        <f t="shared" si="0"/>
        <v>1.3320399999999999E-4</v>
      </c>
      <c r="U15" s="12">
        <f t="shared" si="6"/>
        <v>23.426570895095832</v>
      </c>
      <c r="V15" s="12">
        <f t="shared" si="7"/>
        <v>0</v>
      </c>
      <c r="W15" s="12" t="e">
        <f t="shared" si="8"/>
        <v>#VALUE!</v>
      </c>
      <c r="X15" s="12">
        <f t="shared" si="9"/>
        <v>2.8571771679656546E-2</v>
      </c>
      <c r="Y15" s="12">
        <f t="shared" si="10"/>
        <v>8.0432571320000001E-7</v>
      </c>
      <c r="Z15" s="12">
        <f t="shared" si="11"/>
        <v>1.5391257078077961E-2</v>
      </c>
      <c r="AA15" s="12">
        <f t="shared" si="12"/>
        <v>0</v>
      </c>
      <c r="AB15" s="12" t="e">
        <f t="shared" si="13"/>
        <v>#VALUE!</v>
      </c>
      <c r="AC15" s="12">
        <f t="shared" si="14"/>
        <v>1.7035705571074585E-2</v>
      </c>
      <c r="AD15" s="12">
        <f t="shared" si="15"/>
        <v>4.6693862975999994E-9</v>
      </c>
      <c r="AE15" s="12">
        <f t="shared" si="16"/>
        <v>5.6364329573600574E-4</v>
      </c>
      <c r="AF15" s="12">
        <f t="shared" si="17"/>
        <v>0</v>
      </c>
      <c r="AG15" s="12" t="e">
        <f t="shared" si="18"/>
        <v>#VALUE!</v>
      </c>
      <c r="AH15" s="12">
        <f t="shared" si="19"/>
        <v>1.9778474525641902E-4</v>
      </c>
      <c r="AI15" s="12">
        <f t="shared" si="20"/>
        <v>3.2906868103138716E-9</v>
      </c>
      <c r="AJ15" s="12">
        <f t="shared" si="21"/>
        <v>6.5243503614116134E-5</v>
      </c>
      <c r="AK15" s="12">
        <f t="shared" si="22"/>
        <v>0</v>
      </c>
      <c r="AL15" s="12" t="e">
        <f t="shared" si="23"/>
        <v>#VALUE!</v>
      </c>
      <c r="AM15" s="12">
        <f t="shared" si="24"/>
        <v>4.1248122055561838E-2</v>
      </c>
      <c r="AN15" s="12">
        <f t="shared" si="25"/>
        <v>6.8627462154616721E-7</v>
      </c>
      <c r="AO15" s="12">
        <f t="shared" si="26"/>
        <v>1.3606570096791686E-2</v>
      </c>
      <c r="AP15" s="12">
        <f t="shared" ref="AP15:AP36" si="46">AK15-(AVERAGE($AK$11:$AK$13))</f>
        <v>0</v>
      </c>
      <c r="AQ15" s="12" t="e">
        <f t="shared" si="29"/>
        <v>#VALUE!</v>
      </c>
      <c r="AR15" s="12">
        <f t="shared" ref="AR15:AR36" si="47">IF(AM15-(AVERAGE($AM$9:$AM$11))&lt;0,0,AM15-(AVERAGE($AM$9:$AM$11)))</f>
        <v>4.1196364799277435E-2</v>
      </c>
      <c r="AS15" s="12">
        <f t="shared" si="31"/>
        <v>6.8627462154616721E-7</v>
      </c>
      <c r="AT15" s="12">
        <f t="shared" si="39"/>
        <v>9.7304528091740009E-3</v>
      </c>
      <c r="AU15" s="11">
        <f t="shared" si="40"/>
        <v>2.5966173877868298E-2</v>
      </c>
      <c r="AV15" s="11">
        <f t="shared" si="41"/>
        <v>4.3355733409217594</v>
      </c>
      <c r="AW15" s="11">
        <f t="shared" si="42"/>
        <v>0.37485573667681876</v>
      </c>
      <c r="AX15" s="11">
        <f t="shared" si="43"/>
        <v>4.9060851444707045E-6</v>
      </c>
      <c r="AY15" s="11">
        <f t="shared" si="44"/>
        <v>0.23979709250129339</v>
      </c>
      <c r="AZ15" s="11">
        <f t="shared" si="32"/>
        <v>0</v>
      </c>
      <c r="BA15" s="11" t="e">
        <f t="shared" si="33"/>
        <v>#VALUE!</v>
      </c>
      <c r="BB15" s="11">
        <f t="shared" si="34"/>
        <v>0.10989925128128641</v>
      </c>
      <c r="BC15" s="11">
        <f t="shared" si="45"/>
        <v>0.13988233007321896</v>
      </c>
      <c r="BD15" s="11">
        <f t="shared" si="36"/>
        <v>4.0577859838402827E-2</v>
      </c>
      <c r="BF15" s="18" t="s">
        <v>117</v>
      </c>
      <c r="BG15" s="14">
        <v>41.000000000000014</v>
      </c>
      <c r="BH15" s="16">
        <v>1.4808263833900599E-3</v>
      </c>
    </row>
    <row r="16" spans="2:60" x14ac:dyDescent="0.25">
      <c r="B16" s="11" t="s">
        <v>99</v>
      </c>
      <c r="C16" s="12" t="s">
        <v>117</v>
      </c>
      <c r="D16" s="14">
        <f t="shared" si="37"/>
        <v>100.99999999999996</v>
      </c>
      <c r="E16" s="10">
        <f t="shared" si="38"/>
        <v>7.0138888888888862E-2</v>
      </c>
      <c r="F16" s="10">
        <v>0.4909722222222222</v>
      </c>
      <c r="G16" s="13">
        <v>10.0581</v>
      </c>
      <c r="H16" s="13">
        <v>18.935199999999998</v>
      </c>
      <c r="I16" s="13">
        <v>14.5548</v>
      </c>
      <c r="J16" s="13">
        <f t="shared" si="1"/>
        <v>4.3803999999999981</v>
      </c>
      <c r="K16" s="13">
        <f t="shared" si="2"/>
        <v>4.4967000000000006</v>
      </c>
      <c r="L16" s="17">
        <v>10255</v>
      </c>
      <c r="M16" s="17" t="s">
        <v>1</v>
      </c>
      <c r="N16" s="17">
        <v>2117153</v>
      </c>
      <c r="O16" s="17">
        <v>15170</v>
      </c>
      <c r="P16" s="17">
        <v>185267</v>
      </c>
      <c r="Q16" s="12">
        <f t="shared" si="3"/>
        <v>5.2342341424656977</v>
      </c>
      <c r="R16" s="12" t="e">
        <f t="shared" si="4"/>
        <v>#VALUE!</v>
      </c>
      <c r="S16" s="12">
        <f t="shared" si="5"/>
        <v>28.543817440537076</v>
      </c>
      <c r="T16" s="12">
        <f t="shared" si="0"/>
        <v>1.6068000000000001E-4</v>
      </c>
      <c r="U16" s="12">
        <f t="shared" si="6"/>
        <v>36.075086689783944</v>
      </c>
      <c r="V16" s="12">
        <f t="shared" si="7"/>
        <v>6.4805052917867806E-3</v>
      </c>
      <c r="W16" s="12" t="e">
        <f t="shared" si="8"/>
        <v>#VALUE!</v>
      </c>
      <c r="X16" s="12">
        <f t="shared" si="9"/>
        <v>5.1618639459467243E-2</v>
      </c>
      <c r="Y16" s="12">
        <f t="shared" si="10"/>
        <v>9.7023404399999987E-7</v>
      </c>
      <c r="Z16" s="12">
        <f t="shared" si="11"/>
        <v>2.3701331955188053E-2</v>
      </c>
      <c r="AA16" s="12">
        <f t="shared" si="12"/>
        <v>2.9904749926149276E-4</v>
      </c>
      <c r="AB16" s="12" t="e">
        <f t="shared" si="13"/>
        <v>#VALUE!</v>
      </c>
      <c r="AC16" s="12">
        <f t="shared" si="14"/>
        <v>3.0777228436171894E-2</v>
      </c>
      <c r="AD16" s="12">
        <f t="shared" si="15"/>
        <v>5.6325409920000004E-9</v>
      </c>
      <c r="AE16" s="12">
        <f t="shared" si="16"/>
        <v>8.6796658575620154E-4</v>
      </c>
      <c r="AF16" s="12">
        <f t="shared" si="17"/>
        <v>2.9731932270071956E-5</v>
      </c>
      <c r="AG16" s="12" t="e">
        <f t="shared" si="18"/>
        <v>#VALUE!</v>
      </c>
      <c r="AH16" s="12">
        <f t="shared" si="19"/>
        <v>3.6450625139718444E-4</v>
      </c>
      <c r="AI16" s="12">
        <f t="shared" si="20"/>
        <v>4.2753410534163235E-9</v>
      </c>
      <c r="AJ16" s="12">
        <f t="shared" si="21"/>
        <v>1.077242998426756E-4</v>
      </c>
      <c r="AK16" s="12">
        <f t="shared" si="22"/>
        <v>6.6119448195503258E-3</v>
      </c>
      <c r="AL16" s="12" t="e">
        <f t="shared" si="23"/>
        <v>#VALUE!</v>
      </c>
      <c r="AM16" s="12">
        <f t="shared" si="24"/>
        <v>8.1060833810835592E-2</v>
      </c>
      <c r="AN16" s="12">
        <f t="shared" si="25"/>
        <v>9.507730231984173E-7</v>
      </c>
      <c r="AO16" s="12">
        <f t="shared" si="26"/>
        <v>2.3956301252624278E-2</v>
      </c>
      <c r="AP16" s="12">
        <f t="shared" si="46"/>
        <v>6.6119448195503258E-3</v>
      </c>
      <c r="AQ16" s="12" t="e">
        <f t="shared" si="29"/>
        <v>#VALUE!</v>
      </c>
      <c r="AR16" s="12">
        <f t="shared" si="47"/>
        <v>8.1009076554551182E-2</v>
      </c>
      <c r="AS16" s="12">
        <f t="shared" si="31"/>
        <v>9.507730231984173E-7</v>
      </c>
      <c r="AT16" s="12">
        <f t="shared" si="39"/>
        <v>2.0080183965006593E-2</v>
      </c>
      <c r="AU16" s="11">
        <f t="shared" si="40"/>
        <v>2.5900516290205386E-2</v>
      </c>
      <c r="AV16" s="11">
        <f t="shared" si="41"/>
        <v>4.2411119073963119</v>
      </c>
      <c r="AW16" s="11">
        <f t="shared" si="42"/>
        <v>0.37579276958454749</v>
      </c>
      <c r="AX16" s="11">
        <f t="shared" si="43"/>
        <v>4.9694573677236275E-6</v>
      </c>
      <c r="AY16" s="11">
        <f t="shared" si="44"/>
        <v>0.24065139487095227</v>
      </c>
      <c r="AZ16" s="11">
        <f t="shared" si="32"/>
        <v>0.25528235597568832</v>
      </c>
      <c r="BA16" s="11" t="e">
        <f t="shared" si="33"/>
        <v>#VALUE!</v>
      </c>
      <c r="BB16" s="11">
        <f t="shared" si="34"/>
        <v>0.2155684811182228</v>
      </c>
      <c r="BC16" s="11">
        <f t="shared" si="45"/>
        <v>0.19132330812889947</v>
      </c>
      <c r="BD16" s="11">
        <f t="shared" si="36"/>
        <v>8.3440962292258725E-2</v>
      </c>
      <c r="BF16" s="16" t="s">
        <v>123</v>
      </c>
      <c r="BG16" s="14">
        <v>50</v>
      </c>
      <c r="BH16" s="16">
        <v>3.3612408384885582E-3</v>
      </c>
    </row>
    <row r="17" spans="1:94" x14ac:dyDescent="0.25">
      <c r="B17" s="11" t="s">
        <v>100</v>
      </c>
      <c r="C17" s="12" t="s">
        <v>117</v>
      </c>
      <c r="D17" s="14">
        <f t="shared" si="37"/>
        <v>127.99999999999994</v>
      </c>
      <c r="E17" s="10">
        <f>F17-$F$3</f>
        <v>8.8888888888888851E-2</v>
      </c>
      <c r="F17" s="10">
        <v>0.50972222222222219</v>
      </c>
      <c r="G17" s="13">
        <v>10.0603</v>
      </c>
      <c r="H17" s="13">
        <v>18.8459</v>
      </c>
      <c r="I17" s="13">
        <v>14.7331</v>
      </c>
      <c r="J17" s="13">
        <f t="shared" si="1"/>
        <v>4.1128</v>
      </c>
      <c r="K17" s="13">
        <f t="shared" si="2"/>
        <v>4.6728000000000005</v>
      </c>
      <c r="L17" s="17">
        <v>24330</v>
      </c>
      <c r="M17" s="17">
        <v>1059</v>
      </c>
      <c r="N17" s="17">
        <v>3574488</v>
      </c>
      <c r="O17" s="17">
        <v>25565</v>
      </c>
      <c r="P17" s="17">
        <v>316599</v>
      </c>
      <c r="Q17" s="12">
        <f t="shared" si="3"/>
        <v>6.667956932291613</v>
      </c>
      <c r="R17" s="12">
        <f t="shared" si="4"/>
        <v>36.908232210245643</v>
      </c>
      <c r="S17" s="12">
        <f t="shared" si="5"/>
        <v>49.53894803567055</v>
      </c>
      <c r="T17" s="12">
        <f t="shared" si="0"/>
        <v>2.0226E-4</v>
      </c>
      <c r="U17" s="12">
        <f t="shared" si="6"/>
        <v>61.097378348511981</v>
      </c>
      <c r="V17" s="12">
        <f t="shared" si="7"/>
        <v>8.255597477870245E-3</v>
      </c>
      <c r="W17" s="12">
        <f t="shared" si="8"/>
        <v>2.2505019640393687E-2</v>
      </c>
      <c r="X17" s="12">
        <f t="shared" si="9"/>
        <v>8.9586233627706624E-2</v>
      </c>
      <c r="Y17" s="12">
        <f t="shared" si="10"/>
        <v>1.2213065579999999E-6</v>
      </c>
      <c r="Z17" s="12">
        <f t="shared" si="11"/>
        <v>4.0140977574972377E-2</v>
      </c>
      <c r="AA17" s="12">
        <f t="shared" si="12"/>
        <v>3.8096038341261672E-4</v>
      </c>
      <c r="AB17" s="12">
        <f t="shared" si="13"/>
        <v>5.4624183671163542E-5</v>
      </c>
      <c r="AC17" s="12">
        <f t="shared" si="14"/>
        <v>5.3415123024721588E-2</v>
      </c>
      <c r="AD17" s="12">
        <f t="shared" si="15"/>
        <v>7.0901029440000006E-9</v>
      </c>
      <c r="AE17" s="12">
        <f t="shared" si="16"/>
        <v>1.4700029230651985E-3</v>
      </c>
      <c r="AF17" s="12">
        <f t="shared" si="17"/>
        <v>3.5733772986595222E-5</v>
      </c>
      <c r="AG17" s="12">
        <f t="shared" si="18"/>
        <v>9.2813892662469775E-5</v>
      </c>
      <c r="AH17" s="12">
        <f t="shared" si="19"/>
        <v>6.1804844853395092E-4</v>
      </c>
      <c r="AI17" s="12">
        <f t="shared" si="20"/>
        <v>5.0561202447791224E-9</v>
      </c>
      <c r="AJ17" s="12">
        <f t="shared" si="21"/>
        <v>1.7196084222924544E-4</v>
      </c>
      <c r="AK17" s="12">
        <f t="shared" si="22"/>
        <v>7.6471864806101743E-3</v>
      </c>
      <c r="AL17" s="12">
        <f t="shared" si="23"/>
        <v>1.9862586171560899E-2</v>
      </c>
      <c r="AM17" s="12">
        <f t="shared" si="24"/>
        <v>0.13226511910074279</v>
      </c>
      <c r="AN17" s="12">
        <f t="shared" si="25"/>
        <v>1.082032238653296E-6</v>
      </c>
      <c r="AO17" s="12">
        <f t="shared" si="26"/>
        <v>3.6800385685080768E-2</v>
      </c>
      <c r="AP17" s="12">
        <f t="shared" si="46"/>
        <v>7.6471864806101743E-3</v>
      </c>
      <c r="AQ17" s="12">
        <f t="shared" si="29"/>
        <v>1.9862586171560899E-2</v>
      </c>
      <c r="AR17" s="12">
        <f t="shared" si="47"/>
        <v>0.13221336184445839</v>
      </c>
      <c r="AS17" s="12">
        <f t="shared" si="31"/>
        <v>1.082032238653296E-6</v>
      </c>
      <c r="AT17" s="12">
        <f t="shared" si="39"/>
        <v>3.2924268397463083E-2</v>
      </c>
      <c r="AU17" s="11">
        <f t="shared" si="40"/>
        <v>2.580202990871102E-2</v>
      </c>
      <c r="AV17" s="11">
        <f t="shared" si="41"/>
        <v>4.0994197571081408</v>
      </c>
      <c r="AW17" s="11">
        <f t="shared" si="42"/>
        <v>0.37719831894614053</v>
      </c>
      <c r="AX17" s="11">
        <f t="shared" si="43"/>
        <v>5.0645157026030137E-6</v>
      </c>
      <c r="AY17" s="11">
        <f t="shared" si="44"/>
        <v>0.24193284842544058</v>
      </c>
      <c r="AZ17" s="11">
        <f t="shared" ref="AZ17:AZ36" si="48">AP17/AU17</f>
        <v>0.29637925805319715</v>
      </c>
      <c r="BA17" s="11">
        <f t="shared" ref="BA17:BA36" si="49">AQ17/AV17</f>
        <v>4.8452189208290763E-3</v>
      </c>
      <c r="BB17" s="11">
        <f t="shared" si="34"/>
        <v>0.3505141863141148</v>
      </c>
      <c r="BC17" s="11">
        <f t="shared" si="45"/>
        <v>0.21364969568505096</v>
      </c>
      <c r="BD17" s="11">
        <f t="shared" si="36"/>
        <v>0.13608845847822007</v>
      </c>
      <c r="BF17" s="18" t="s">
        <v>117</v>
      </c>
      <c r="BG17" s="14">
        <v>61.999999999999943</v>
      </c>
      <c r="BH17" s="16">
        <v>2.1530745510877757E-2</v>
      </c>
    </row>
    <row r="18" spans="1:94" s="4" customFormat="1" x14ac:dyDescent="0.25">
      <c r="B18" s="4" t="s">
        <v>101</v>
      </c>
      <c r="C18" s="5" t="s">
        <v>43</v>
      </c>
      <c r="D18" s="6">
        <f t="shared" si="37"/>
        <v>150.00000000000003</v>
      </c>
      <c r="E18" s="7">
        <f t="shared" ref="E18:E36" si="50">F18-$F$3</f>
        <v>0.10416666666666669</v>
      </c>
      <c r="F18" s="7">
        <v>0.52500000000000002</v>
      </c>
      <c r="G18" s="8">
        <v>10.033799999999999</v>
      </c>
      <c r="H18" s="8">
        <v>19.157</v>
      </c>
      <c r="I18" s="8">
        <v>14.8065</v>
      </c>
      <c r="J18" s="8">
        <f t="shared" si="1"/>
        <v>4.3505000000000003</v>
      </c>
      <c r="K18" s="8">
        <f t="shared" si="2"/>
        <v>4.7727000000000004</v>
      </c>
      <c r="L18" s="19">
        <v>171834</v>
      </c>
      <c r="M18" s="19">
        <v>32531</v>
      </c>
      <c r="N18" s="19">
        <v>9768669</v>
      </c>
      <c r="O18" s="19">
        <v>207072</v>
      </c>
      <c r="P18" s="19">
        <v>2075789</v>
      </c>
      <c r="Q18" s="5">
        <f t="shared" si="3"/>
        <v>21.693168043515904</v>
      </c>
      <c r="R18" s="5">
        <f t="shared" si="4"/>
        <v>7148.7424581384321</v>
      </c>
      <c r="S18" s="5">
        <f t="shared" si="5"/>
        <v>138.77556077391844</v>
      </c>
      <c r="T18" s="5">
        <f t="shared" si="0"/>
        <v>9.2828800000000009E-4</v>
      </c>
      <c r="U18" s="5">
        <f t="shared" si="6"/>
        <v>396.27056738939905</v>
      </c>
      <c r="V18" s="5">
        <f t="shared" si="7"/>
        <v>2.6858311354677041E-2</v>
      </c>
      <c r="W18" s="5">
        <f t="shared" si="8"/>
        <v>4.3589893037429466</v>
      </c>
      <c r="X18" s="5">
        <f t="shared" si="9"/>
        <v>0.25096172410355411</v>
      </c>
      <c r="Y18" s="5">
        <f t="shared" si="10"/>
        <v>5.6052814303999996E-6</v>
      </c>
      <c r="Z18" s="5">
        <f t="shared" si="11"/>
        <v>0.26034976277483518</v>
      </c>
      <c r="AA18" s="5">
        <f t="shared" si="12"/>
        <v>1.2393957698301943E-3</v>
      </c>
      <c r="AB18" s="5">
        <f t="shared" si="13"/>
        <v>1.0580138838044881E-2</v>
      </c>
      <c r="AC18" s="5">
        <f t="shared" si="14"/>
        <v>0.14963405452667367</v>
      </c>
      <c r="AD18" s="5">
        <f t="shared" si="15"/>
        <v>3.2540578867200005E-8</v>
      </c>
      <c r="AE18" s="5">
        <f t="shared" si="16"/>
        <v>9.53426985138894E-3</v>
      </c>
      <c r="AF18" s="5">
        <f t="shared" si="17"/>
        <v>1.2276234773919104E-4</v>
      </c>
      <c r="AG18" s="5">
        <f t="shared" si="18"/>
        <v>1.9014278794566027E-2</v>
      </c>
      <c r="AH18" s="5">
        <f t="shared" si="19"/>
        <v>1.8059674327519676E-3</v>
      </c>
      <c r="AI18" s="5">
        <f t="shared" si="20"/>
        <v>2.4541083283714686E-8</v>
      </c>
      <c r="AJ18" s="5">
        <f t="shared" si="21"/>
        <v>1.1781558526716444E-3</v>
      </c>
      <c r="AK18" s="5">
        <f t="shared" si="22"/>
        <v>2.5721781746011908E-2</v>
      </c>
      <c r="AL18" s="5">
        <f t="shared" si="23"/>
        <v>3.9839668939103703</v>
      </c>
      <c r="AM18" s="5">
        <f t="shared" si="24"/>
        <v>0.37839533864520453</v>
      </c>
      <c r="AN18" s="5">
        <f t="shared" si="25"/>
        <v>5.1419706421343649E-6</v>
      </c>
      <c r="AO18" s="5">
        <f t="shared" si="26"/>
        <v>0.24685311305375246</v>
      </c>
      <c r="AP18" s="5">
        <f t="shared" si="46"/>
        <v>2.5721781746011908E-2</v>
      </c>
      <c r="AQ18" s="5">
        <f t="shared" si="29"/>
        <v>3.9839668939103703</v>
      </c>
      <c r="AR18" s="5">
        <f t="shared" si="47"/>
        <v>0.3783435813889201</v>
      </c>
      <c r="AS18" s="5">
        <f t="shared" si="31"/>
        <v>5.1419706421343649E-6</v>
      </c>
      <c r="AT18" s="5">
        <f t="shared" si="39"/>
        <v>0.24297699576613477</v>
      </c>
      <c r="AU18" s="4">
        <f>AP18</f>
        <v>2.5721781746011908E-2</v>
      </c>
      <c r="AV18" s="4">
        <f t="shared" ref="AV18:AY18" si="51">AQ18</f>
        <v>3.9839668939103703</v>
      </c>
      <c r="AW18" s="4">
        <f t="shared" si="51"/>
        <v>0.3783435813889201</v>
      </c>
      <c r="AX18" s="4">
        <f t="shared" si="51"/>
        <v>5.1419706421343649E-6</v>
      </c>
      <c r="AY18" s="4">
        <f t="shared" si="51"/>
        <v>0.24297699576613477</v>
      </c>
      <c r="AZ18" s="4">
        <f t="shared" si="48"/>
        <v>1</v>
      </c>
      <c r="BA18" s="4">
        <f t="shared" si="49"/>
        <v>1</v>
      </c>
      <c r="BB18" s="4">
        <f t="shared" si="34"/>
        <v>1</v>
      </c>
      <c r="BC18" s="4">
        <f t="shared" si="45"/>
        <v>1</v>
      </c>
      <c r="BD18" s="4">
        <f t="shared" si="36"/>
        <v>1</v>
      </c>
      <c r="BF18" s="16" t="s">
        <v>124</v>
      </c>
      <c r="BG18" s="14">
        <v>73</v>
      </c>
      <c r="BH18" s="16">
        <v>4.3261285057609726E-2</v>
      </c>
    </row>
    <row r="19" spans="1:94" x14ac:dyDescent="0.25">
      <c r="B19" s="11" t="s">
        <v>102</v>
      </c>
      <c r="C19" s="12" t="s">
        <v>117</v>
      </c>
      <c r="D19" s="14">
        <f t="shared" si="37"/>
        <v>156</v>
      </c>
      <c r="E19" s="10">
        <f t="shared" si="50"/>
        <v>0.10833333333333334</v>
      </c>
      <c r="F19" s="10">
        <v>0.52916666666666667</v>
      </c>
      <c r="G19" s="13">
        <v>9.9738000000000007</v>
      </c>
      <c r="H19" s="13">
        <v>19.034800000000001</v>
      </c>
      <c r="I19" s="13">
        <v>15.003299999999999</v>
      </c>
      <c r="J19" s="13">
        <f t="shared" si="1"/>
        <v>4.0315000000000012</v>
      </c>
      <c r="K19" s="13">
        <f t="shared" si="2"/>
        <v>5.0294999999999987</v>
      </c>
      <c r="L19" s="17">
        <v>35787</v>
      </c>
      <c r="M19" s="17">
        <v>1105</v>
      </c>
      <c r="N19" s="17">
        <v>4870080</v>
      </c>
      <c r="O19" s="17">
        <v>38141</v>
      </c>
      <c r="P19" s="17">
        <v>436231</v>
      </c>
      <c r="Q19" s="12">
        <f t="shared" si="3"/>
        <v>7.8350021900561266</v>
      </c>
      <c r="R19" s="12">
        <f t="shared" si="4"/>
        <v>47.303007705692281</v>
      </c>
      <c r="S19" s="12">
        <f t="shared" si="5"/>
        <v>68.203924336939764</v>
      </c>
      <c r="T19" s="12">
        <f t="shared" si="0"/>
        <v>2.5256399999999999E-4</v>
      </c>
      <c r="U19" s="12">
        <f t="shared" si="6"/>
        <v>83.890504134435844</v>
      </c>
      <c r="V19" s="12">
        <f t="shared" si="7"/>
        <v>9.7005162115084888E-3</v>
      </c>
      <c r="W19" s="12">
        <f t="shared" si="8"/>
        <v>2.8843297381519684E-2</v>
      </c>
      <c r="X19" s="12">
        <f t="shared" si="9"/>
        <v>0.12333997677092187</v>
      </c>
      <c r="Y19" s="12">
        <f t="shared" si="10"/>
        <v>1.5250572011999998E-6</v>
      </c>
      <c r="Z19" s="12">
        <f t="shared" si="11"/>
        <v>5.5116061216324355E-2</v>
      </c>
      <c r="AA19" s="12">
        <f t="shared" si="12"/>
        <v>4.4763718012447672E-4</v>
      </c>
      <c r="AB19" s="12">
        <f t="shared" si="13"/>
        <v>7.0008451404424566E-5</v>
      </c>
      <c r="AC19" s="12">
        <f t="shared" si="14"/>
        <v>7.3540540396683604E-2</v>
      </c>
      <c r="AD19" s="12">
        <f t="shared" si="15"/>
        <v>8.8534794815999998E-9</v>
      </c>
      <c r="AE19" s="12">
        <f t="shared" si="16"/>
        <v>2.0184055294745267E-3</v>
      </c>
      <c r="AF19" s="12">
        <f t="shared" si="17"/>
        <v>4.1359022304132535E-5</v>
      </c>
      <c r="AG19" s="12">
        <f t="shared" si="18"/>
        <v>1.166338608999352E-4</v>
      </c>
      <c r="AH19" s="12">
        <f t="shared" si="19"/>
        <v>8.6711726427709168E-4</v>
      </c>
      <c r="AI19" s="12">
        <f t="shared" si="20"/>
        <v>6.1927966816905087E-9</v>
      </c>
      <c r="AJ19" s="12">
        <f t="shared" si="21"/>
        <v>2.323519714041038E-4</v>
      </c>
      <c r="AK19" s="12">
        <f t="shared" si="22"/>
        <v>8.2232870671304394E-3</v>
      </c>
      <c r="AL19" s="12">
        <f t="shared" si="23"/>
        <v>2.3189951466335665E-2</v>
      </c>
      <c r="AM19" s="12">
        <f t="shared" si="24"/>
        <v>0.17240625594534087</v>
      </c>
      <c r="AN19" s="12">
        <f t="shared" si="25"/>
        <v>1.2312946976221314E-6</v>
      </c>
      <c r="AO19" s="12">
        <f t="shared" si="26"/>
        <v>4.6197827100925314E-2</v>
      </c>
      <c r="AP19" s="12">
        <f t="shared" si="46"/>
        <v>8.2232870671304394E-3</v>
      </c>
      <c r="AQ19" s="12">
        <f t="shared" si="29"/>
        <v>2.3189951466335665E-2</v>
      </c>
      <c r="AR19" s="12">
        <f t="shared" si="47"/>
        <v>0.17235449868905647</v>
      </c>
      <c r="AS19" s="12">
        <f t="shared" si="31"/>
        <v>1.2312946976221314E-6</v>
      </c>
      <c r="AT19" s="12">
        <f t="shared" si="39"/>
        <v>4.2321709813307629E-2</v>
      </c>
      <c r="AU19" s="11">
        <f>$AU$18+(($AU$25-$AU$18)/($D$25-$D$18))*(D19-$D$18)</f>
        <v>2.5690131651124454E-2</v>
      </c>
      <c r="AV19" s="11">
        <f>$AV$18+(($AV$25-$AV$18)/($D$25-$D$18))*(D19-$D$18)</f>
        <v>3.9571306301949205</v>
      </c>
      <c r="AW19" s="11">
        <f>$AW$18+(($AW$25-$AW$18)/($D$25-$D$18))*(D19-$D$18)</f>
        <v>0.37820102030961122</v>
      </c>
      <c r="AX19" s="11">
        <f>$AX$18+(($AX$25-$AX$18)/($D$25-$D$18))*(D19-$D$18)</f>
        <v>5.1499193427197024E-6</v>
      </c>
      <c r="AY19" s="11">
        <f>$AY$18+(($AY$25-$AY$18)/($D$25-$D$18))*(D19-$D$18)</f>
        <v>0.24280559978135924</v>
      </c>
      <c r="AZ19" s="11">
        <f t="shared" si="48"/>
        <v>0.32009517034804713</v>
      </c>
      <c r="BA19" s="11">
        <f t="shared" si="49"/>
        <v>5.860294651226455E-3</v>
      </c>
      <c r="BB19" s="11">
        <f t="shared" si="34"/>
        <v>0.4557219294330826</v>
      </c>
      <c r="BC19" s="11">
        <f t="shared" si="45"/>
        <v>0.23909009358812161</v>
      </c>
      <c r="BD19" s="11">
        <f t="shared" si="36"/>
        <v>0.17430285731225861</v>
      </c>
      <c r="BF19" s="18" t="s">
        <v>117</v>
      </c>
      <c r="BG19" s="14">
        <v>82.999999999999943</v>
      </c>
      <c r="BH19" s="16">
        <v>0.13481396384021765</v>
      </c>
    </row>
    <row r="20" spans="1:94" s="4" customFormat="1" x14ac:dyDescent="0.25">
      <c r="A20" s="11"/>
      <c r="B20" s="11" t="s">
        <v>103</v>
      </c>
      <c r="C20" s="12" t="s">
        <v>117</v>
      </c>
      <c r="D20" s="14">
        <f t="shared" si="37"/>
        <v>183.00000000000006</v>
      </c>
      <c r="E20" s="10">
        <f t="shared" si="50"/>
        <v>0.12708333333333338</v>
      </c>
      <c r="F20" s="10">
        <v>0.54791666666666672</v>
      </c>
      <c r="G20" s="13">
        <v>9.9835999999999991</v>
      </c>
      <c r="H20" s="13">
        <v>18.9528</v>
      </c>
      <c r="I20" s="13">
        <v>14.6097</v>
      </c>
      <c r="J20" s="13">
        <f t="shared" si="1"/>
        <v>4.3430999999999997</v>
      </c>
      <c r="K20" s="13">
        <f t="shared" si="2"/>
        <v>4.626100000000001</v>
      </c>
      <c r="L20" s="17">
        <v>28692</v>
      </c>
      <c r="M20" s="17">
        <v>865</v>
      </c>
      <c r="N20" s="17">
        <v>4564071</v>
      </c>
      <c r="O20" s="17">
        <v>31298</v>
      </c>
      <c r="P20" s="17">
        <v>355746</v>
      </c>
      <c r="Q20" s="12">
        <f t="shared" si="3"/>
        <v>7.1122836682930801</v>
      </c>
      <c r="R20" s="12">
        <f t="shared" si="4"/>
        <v>-6.9306035748988677</v>
      </c>
      <c r="S20" s="12">
        <f t="shared" si="5"/>
        <v>63.795398556466367</v>
      </c>
      <c r="T20" s="12">
        <f t="shared" si="0"/>
        <v>2.2519200000000004E-4</v>
      </c>
      <c r="U20" s="12">
        <f t="shared" si="6"/>
        <v>68.555938726517539</v>
      </c>
      <c r="V20" s="12">
        <f t="shared" si="7"/>
        <v>8.8057184097136629E-3</v>
      </c>
      <c r="W20" s="12">
        <f t="shared" si="8"/>
        <v>-4.22597778957248E-3</v>
      </c>
      <c r="X20" s="12">
        <f t="shared" si="9"/>
        <v>0.11536759874951377</v>
      </c>
      <c r="Y20" s="12">
        <f t="shared" si="10"/>
        <v>1.3597768536000001E-6</v>
      </c>
      <c r="Z20" s="12">
        <f t="shared" si="11"/>
        <v>4.5041251743322026E-2</v>
      </c>
      <c r="AA20" s="12">
        <f t="shared" si="12"/>
        <v>4.0634610282058855E-4</v>
      </c>
      <c r="AB20" s="12">
        <f t="shared" si="13"/>
        <v>-1.0257293290850325E-5</v>
      </c>
      <c r="AC20" s="12">
        <f t="shared" si="14"/>
        <v>6.8787069516517071E-2</v>
      </c>
      <c r="AD20" s="12">
        <f t="shared" si="15"/>
        <v>7.8939704448000026E-9</v>
      </c>
      <c r="AE20" s="12">
        <f t="shared" si="16"/>
        <v>1.649455885760012E-3</v>
      </c>
      <c r="AF20" s="12">
        <f t="shared" si="17"/>
        <v>4.0123913331485733E-5</v>
      </c>
      <c r="AG20" s="12">
        <f t="shared" si="18"/>
        <v>-1.840129540238504E-5</v>
      </c>
      <c r="AH20" s="12">
        <f t="shared" si="19"/>
        <v>8.1926888041937299E-4</v>
      </c>
      <c r="AI20" s="12">
        <f t="shared" si="20"/>
        <v>5.9421651495448497E-9</v>
      </c>
      <c r="AJ20" s="12">
        <f t="shared" si="21"/>
        <v>2.0324920831953625E-4</v>
      </c>
      <c r="AK20" s="12">
        <f t="shared" si="22"/>
        <v>8.67337786288358E-3</v>
      </c>
      <c r="AL20" s="12">
        <f t="shared" si="23"/>
        <v>-3.9777124148602568E-3</v>
      </c>
      <c r="AM20" s="12">
        <f t="shared" si="24"/>
        <v>0.17709709699733531</v>
      </c>
      <c r="AN20" s="12">
        <f t="shared" si="25"/>
        <v>1.2844869651639282E-6</v>
      </c>
      <c r="AO20" s="12">
        <f t="shared" si="26"/>
        <v>4.3935325289020173E-2</v>
      </c>
      <c r="AP20" s="12">
        <f t="shared" si="46"/>
        <v>8.67337786288358E-3</v>
      </c>
      <c r="AQ20" s="12">
        <f t="shared" si="29"/>
        <v>0</v>
      </c>
      <c r="AR20" s="12">
        <f t="shared" si="47"/>
        <v>0.17704533974105091</v>
      </c>
      <c r="AS20" s="12">
        <f t="shared" si="31"/>
        <v>1.2844869651639282E-6</v>
      </c>
      <c r="AT20" s="12">
        <f t="shared" ref="AT20:AT36" si="52">IF(AO20-(AVERAGE($AO$9:$AO$11))&lt;0,0,AO20-(AVERAGE($AO$9:$AO$11)))</f>
        <v>4.0059208001402488E-2</v>
      </c>
      <c r="AU20" s="11">
        <f t="shared" ref="AU20:AU24" si="53">$AU$18+(($AU$25-$AU$18)/($D$25-$D$18))*(D20-$D$18)</f>
        <v>2.5547706224130912E-2</v>
      </c>
      <c r="AV20" s="11">
        <f t="shared" ref="AV20:AV24" si="54">$AV$18+(($AV$25-$AV$18)/($D$25-$D$18))*(D20-$D$18)</f>
        <v>3.8363674434753965</v>
      </c>
      <c r="AW20" s="11">
        <f t="shared" ref="AW20:AW24" si="55">$AW$18+(($AW$25-$AW$18)/($D$25-$D$18))*(D20-$D$18)</f>
        <v>0.37755949545272116</v>
      </c>
      <c r="AX20" s="11">
        <f t="shared" ref="AX20:AX24" si="56">$AX$18+(($AX$25-$AX$18)/($D$25-$D$18))*(D20-$D$18)</f>
        <v>5.1856884953537206E-6</v>
      </c>
      <c r="AY20" s="11">
        <f t="shared" ref="AY20:AY24" si="57">$AY$18+(($AY$25-$AY$18)/($D$25-$D$18))*(D20-$D$18)</f>
        <v>0.24203431784986931</v>
      </c>
      <c r="AZ20" s="11">
        <f t="shared" si="48"/>
        <v>0.33949732264774518</v>
      </c>
      <c r="BA20" s="11">
        <f t="shared" si="49"/>
        <v>0</v>
      </c>
      <c r="BB20" s="11">
        <f t="shared" si="34"/>
        <v>0.46892037380429469</v>
      </c>
      <c r="BC20" s="11">
        <f t="shared" si="45"/>
        <v>0.24769844280365169</v>
      </c>
      <c r="BD20" s="11">
        <f t="shared" si="36"/>
        <v>0.16551044644111454</v>
      </c>
      <c r="BE20" s="11"/>
      <c r="BF20" s="16" t="s">
        <v>125</v>
      </c>
      <c r="BG20" s="14">
        <v>91</v>
      </c>
      <c r="BH20" s="16">
        <v>0.18476247280377142</v>
      </c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</row>
    <row r="21" spans="1:94" x14ac:dyDescent="0.25">
      <c r="B21" s="11" t="s">
        <v>104</v>
      </c>
      <c r="C21" s="12" t="s">
        <v>117</v>
      </c>
      <c r="D21" s="14">
        <f t="shared" si="37"/>
        <v>198.00000000000003</v>
      </c>
      <c r="E21" s="10">
        <f t="shared" si="50"/>
        <v>0.13750000000000001</v>
      </c>
      <c r="F21" s="10">
        <v>0.55833333333333335</v>
      </c>
      <c r="G21" s="13">
        <v>9.9938000000000002</v>
      </c>
      <c r="H21" s="13">
        <v>19.028400000000001</v>
      </c>
      <c r="I21" s="13">
        <v>14.9414</v>
      </c>
      <c r="J21" s="13">
        <f t="shared" si="1"/>
        <v>4.0870000000000015</v>
      </c>
      <c r="K21" s="13">
        <f t="shared" si="2"/>
        <v>4.9475999999999996</v>
      </c>
      <c r="L21" s="17">
        <v>39596</v>
      </c>
      <c r="M21" s="17">
        <v>1056</v>
      </c>
      <c r="N21" s="17">
        <v>5645269</v>
      </c>
      <c r="O21" s="17">
        <v>48167</v>
      </c>
      <c r="P21" s="17">
        <v>494200</v>
      </c>
      <c r="Q21" s="12">
        <f t="shared" si="3"/>
        <v>8.222998645221093</v>
      </c>
      <c r="R21" s="12">
        <f t="shared" si="4"/>
        <v>36.230312069238252</v>
      </c>
      <c r="S21" s="12">
        <f t="shared" si="5"/>
        <v>79.371702706985729</v>
      </c>
      <c r="T21" s="12">
        <f t="shared" si="0"/>
        <v>2.92668E-4</v>
      </c>
      <c r="U21" s="12">
        <f t="shared" si="6"/>
        <v>94.935163662690996</v>
      </c>
      <c r="V21" s="12">
        <f t="shared" si="7"/>
        <v>1.0180894622648234E-2</v>
      </c>
      <c r="W21" s="12">
        <f t="shared" si="8"/>
        <v>2.2091653700755033E-2</v>
      </c>
      <c r="X21" s="12">
        <f t="shared" si="9"/>
        <v>0.14353578717531301</v>
      </c>
      <c r="Y21" s="12">
        <f t="shared" si="10"/>
        <v>1.7672171843999997E-6</v>
      </c>
      <c r="Z21" s="12">
        <f t="shared" si="11"/>
        <v>6.2372402526387996E-2</v>
      </c>
      <c r="AA21" s="12">
        <f t="shared" si="12"/>
        <v>4.698045815974167E-4</v>
      </c>
      <c r="AB21" s="12">
        <f t="shared" si="13"/>
        <v>5.362086186247261E-5</v>
      </c>
      <c r="AC21" s="12">
        <f t="shared" si="14"/>
        <v>8.5582141585293828E-2</v>
      </c>
      <c r="AD21" s="12">
        <f t="shared" si="15"/>
        <v>1.0259301139200001E-8</v>
      </c>
      <c r="AE21" s="12">
        <f t="shared" si="16"/>
        <v>2.2841400377243454E-3</v>
      </c>
      <c r="AF21" s="12">
        <f t="shared" si="17"/>
        <v>4.3933721470674735E-5</v>
      </c>
      <c r="AG21" s="12">
        <f t="shared" si="18"/>
        <v>9.0553883251136616E-5</v>
      </c>
      <c r="AH21" s="12">
        <f t="shared" si="19"/>
        <v>1.0100569658929041E-3</v>
      </c>
      <c r="AI21" s="12">
        <f t="shared" si="20"/>
        <v>7.2733755509591074E-9</v>
      </c>
      <c r="AJ21" s="12">
        <f t="shared" si="21"/>
        <v>2.6621702037599279E-4</v>
      </c>
      <c r="AK21" s="12">
        <f t="shared" si="22"/>
        <v>8.8798046468337669E-3</v>
      </c>
      <c r="AL21" s="12">
        <f t="shared" si="23"/>
        <v>1.8302587770057527E-2</v>
      </c>
      <c r="AM21" s="12">
        <f t="shared" si="24"/>
        <v>0.20415089455350152</v>
      </c>
      <c r="AN21" s="12">
        <f t="shared" si="25"/>
        <v>1.4700815649929477E-6</v>
      </c>
      <c r="AO21" s="12">
        <f t="shared" si="26"/>
        <v>5.3807304627696825E-2</v>
      </c>
      <c r="AP21" s="12">
        <f t="shared" si="46"/>
        <v>8.8798046468337669E-3</v>
      </c>
      <c r="AQ21" s="12">
        <f t="shared" si="29"/>
        <v>1.8302587770057527E-2</v>
      </c>
      <c r="AR21" s="12">
        <f t="shared" si="47"/>
        <v>0.20409913729721713</v>
      </c>
      <c r="AS21" s="12">
        <f t="shared" si="31"/>
        <v>1.4700815649929477E-6</v>
      </c>
      <c r="AT21" s="12">
        <f t="shared" si="52"/>
        <v>4.993118734007914E-2</v>
      </c>
      <c r="AU21" s="11">
        <f t="shared" si="53"/>
        <v>2.5468580986912279E-2</v>
      </c>
      <c r="AV21" s="11">
        <f t="shared" si="54"/>
        <v>3.7692767841867725</v>
      </c>
      <c r="AW21" s="11">
        <f t="shared" si="55"/>
        <v>0.37720309275444891</v>
      </c>
      <c r="AX21" s="11">
        <f t="shared" si="56"/>
        <v>5.2055602468170647E-6</v>
      </c>
      <c r="AY21" s="11">
        <f t="shared" si="57"/>
        <v>0.24160582788793047</v>
      </c>
      <c r="AZ21" s="11">
        <f t="shared" si="48"/>
        <v>0.34865722010177541</v>
      </c>
      <c r="BA21" s="11">
        <f t="shared" si="49"/>
        <v>4.8557293130720141E-3</v>
      </c>
      <c r="BB21" s="11">
        <f t="shared" si="34"/>
        <v>0.5410855351339372</v>
      </c>
      <c r="BC21" s="11">
        <f t="shared" si="45"/>
        <v>0.28240602265468501</v>
      </c>
      <c r="BD21" s="11">
        <f t="shared" si="36"/>
        <v>0.2066638366158943</v>
      </c>
      <c r="BF21" s="18" t="s">
        <v>117</v>
      </c>
      <c r="BG21" s="14">
        <v>100.99999999999996</v>
      </c>
      <c r="BH21" s="16">
        <v>0.32806180687262104</v>
      </c>
    </row>
    <row r="22" spans="1:94" x14ac:dyDescent="0.25">
      <c r="B22" s="11" t="s">
        <v>105</v>
      </c>
      <c r="C22" s="12" t="s">
        <v>117</v>
      </c>
      <c r="D22" s="14">
        <f t="shared" si="37"/>
        <v>216.99999999999994</v>
      </c>
      <c r="E22" s="10">
        <f t="shared" si="50"/>
        <v>0.15069444444444441</v>
      </c>
      <c r="F22" s="10">
        <v>0.57152777777777775</v>
      </c>
      <c r="G22" s="13">
        <v>9.9997000000000007</v>
      </c>
      <c r="H22" s="13">
        <v>18.931799999999999</v>
      </c>
      <c r="I22" s="13">
        <v>14.529500000000001</v>
      </c>
      <c r="J22" s="13">
        <f t="shared" si="1"/>
        <v>4.4022999999999985</v>
      </c>
      <c r="K22" s="13">
        <f t="shared" si="2"/>
        <v>4.5297999999999998</v>
      </c>
      <c r="L22" s="17">
        <v>41553</v>
      </c>
      <c r="M22" s="17">
        <v>1157</v>
      </c>
      <c r="N22" s="17">
        <v>5989545</v>
      </c>
      <c r="O22" s="17">
        <v>48768</v>
      </c>
      <c r="P22" s="17">
        <v>491281</v>
      </c>
      <c r="Q22" s="12">
        <f t="shared" si="3"/>
        <v>8.4223446842753962</v>
      </c>
      <c r="R22" s="12">
        <f t="shared" si="4"/>
        <v>59.053623483153693</v>
      </c>
      <c r="S22" s="12">
        <f t="shared" si="5"/>
        <v>84.33152291357527</v>
      </c>
      <c r="T22" s="12">
        <f t="shared" si="0"/>
        <v>2.9507200000000001E-4</v>
      </c>
      <c r="U22" s="12">
        <f t="shared" si="6"/>
        <v>94.379015356476003</v>
      </c>
      <c r="V22" s="12">
        <f t="shared" si="7"/>
        <v>1.0427704953601369E-2</v>
      </c>
      <c r="W22" s="12">
        <f t="shared" si="8"/>
        <v>3.6008307001922979E-2</v>
      </c>
      <c r="X22" s="12">
        <f t="shared" si="9"/>
        <v>0.15250512603690952</v>
      </c>
      <c r="Y22" s="12">
        <f t="shared" si="10"/>
        <v>1.7817332575999999E-6</v>
      </c>
      <c r="Z22" s="12">
        <f t="shared" si="11"/>
        <v>6.2007013089204734E-2</v>
      </c>
      <c r="AA22" s="12">
        <f t="shared" si="12"/>
        <v>4.8119381884670625E-4</v>
      </c>
      <c r="AB22" s="12">
        <f t="shared" si="13"/>
        <v>8.7399362755067461E-5</v>
      </c>
      <c r="AC22" s="12">
        <f t="shared" si="14"/>
        <v>9.0930042923947976E-2</v>
      </c>
      <c r="AD22" s="12">
        <f t="shared" si="15"/>
        <v>1.0343571916800001E-8</v>
      </c>
      <c r="AE22" s="12">
        <f t="shared" si="16"/>
        <v>2.2707591094768128E-3</v>
      </c>
      <c r="AF22" s="12">
        <f t="shared" si="17"/>
        <v>4.8085597277851104E-5</v>
      </c>
      <c r="AG22" s="12">
        <f t="shared" si="18"/>
        <v>1.5891527154797338E-4</v>
      </c>
      <c r="AH22" s="12">
        <f t="shared" si="19"/>
        <v>1.083268224789186E-3</v>
      </c>
      <c r="AI22" s="12">
        <f t="shared" si="20"/>
        <v>7.8905786320011982E-9</v>
      </c>
      <c r="AJ22" s="12">
        <f t="shared" si="21"/>
        <v>2.8325955833671395E-4</v>
      </c>
      <c r="AK22" s="12">
        <f t="shared" si="22"/>
        <v>1.061539080706678E-2</v>
      </c>
      <c r="AL22" s="12">
        <f t="shared" si="23"/>
        <v>3.5082182778041718E-2</v>
      </c>
      <c r="AM22" s="12">
        <f t="shared" si="24"/>
        <v>0.23914261662527839</v>
      </c>
      <c r="AN22" s="12">
        <f t="shared" si="25"/>
        <v>1.7419264938852043E-6</v>
      </c>
      <c r="AO22" s="12">
        <f t="shared" si="26"/>
        <v>6.2532464642305177E-2</v>
      </c>
      <c r="AP22" s="12">
        <f t="shared" si="46"/>
        <v>1.061539080706678E-2</v>
      </c>
      <c r="AQ22" s="12">
        <f t="shared" si="29"/>
        <v>3.5082182778041718E-2</v>
      </c>
      <c r="AR22" s="12">
        <f t="shared" si="47"/>
        <v>0.23909085936899399</v>
      </c>
      <c r="AS22" s="12">
        <f t="shared" si="31"/>
        <v>1.7419264938852043E-6</v>
      </c>
      <c r="AT22" s="12">
        <f t="shared" si="52"/>
        <v>5.8656347354687492E-2</v>
      </c>
      <c r="AU22" s="11">
        <f t="shared" si="53"/>
        <v>2.5368355686435341E-2</v>
      </c>
      <c r="AV22" s="11">
        <f t="shared" si="54"/>
        <v>3.6842952824211821</v>
      </c>
      <c r="AW22" s="11">
        <f t="shared" si="55"/>
        <v>0.37675164933663741</v>
      </c>
      <c r="AX22" s="11">
        <f t="shared" si="56"/>
        <v>5.2307311320039662E-6</v>
      </c>
      <c r="AY22" s="11">
        <f t="shared" si="57"/>
        <v>0.24106307393614126</v>
      </c>
      <c r="AZ22" s="11">
        <f t="shared" si="48"/>
        <v>0.41845009342654843</v>
      </c>
      <c r="BA22" s="11">
        <f t="shared" si="49"/>
        <v>9.5220876962356319E-3</v>
      </c>
      <c r="BB22" s="11">
        <f t="shared" si="34"/>
        <v>0.6346113143498413</v>
      </c>
      <c r="BC22" s="11">
        <f t="shared" si="45"/>
        <v>0.33301778468927878</v>
      </c>
      <c r="BD22" s="11">
        <f t="shared" si="36"/>
        <v>0.24332365134539782</v>
      </c>
      <c r="BF22" s="16" t="s">
        <v>126</v>
      </c>
      <c r="BG22" s="14">
        <v>110</v>
      </c>
      <c r="BH22" s="16">
        <v>0.38355753847871532</v>
      </c>
    </row>
    <row r="23" spans="1:94" x14ac:dyDescent="0.25">
      <c r="B23" s="11" t="s">
        <v>106</v>
      </c>
      <c r="C23" s="12" t="s">
        <v>117</v>
      </c>
      <c r="D23" s="14">
        <f t="shared" si="37"/>
        <v>251.99999999999997</v>
      </c>
      <c r="E23" s="10">
        <f t="shared" si="50"/>
        <v>0.17499999999999999</v>
      </c>
      <c r="F23" s="10">
        <v>0.59583333333333333</v>
      </c>
      <c r="G23" s="13">
        <v>10.0358</v>
      </c>
      <c r="H23" s="13">
        <v>18.967500000000001</v>
      </c>
      <c r="I23" s="13">
        <v>14.6777</v>
      </c>
      <c r="J23" s="13">
        <f t="shared" si="1"/>
        <v>4.2898000000000014</v>
      </c>
      <c r="K23" s="13">
        <f t="shared" si="2"/>
        <v>4.6418999999999997</v>
      </c>
      <c r="L23" s="17">
        <v>51568</v>
      </c>
      <c r="M23" s="17">
        <v>1353</v>
      </c>
      <c r="N23" s="17">
        <v>6505333</v>
      </c>
      <c r="O23" s="17">
        <v>61692</v>
      </c>
      <c r="P23" s="17">
        <v>609713</v>
      </c>
      <c r="Q23" s="12">
        <f t="shared" si="3"/>
        <v>9.4425033869472657</v>
      </c>
      <c r="R23" s="12">
        <f t="shared" si="4"/>
        <v>103.3444060289698</v>
      </c>
      <c r="S23" s="12">
        <f t="shared" si="5"/>
        <v>91.762234739890218</v>
      </c>
      <c r="T23" s="12">
        <f t="shared" si="0"/>
        <v>3.4676800000000001E-4</v>
      </c>
      <c r="U23" s="12">
        <f t="shared" si="6"/>
        <v>116.94350874518918</v>
      </c>
      <c r="V23" s="12">
        <f t="shared" si="7"/>
        <v>1.1690763443379409E-2</v>
      </c>
      <c r="W23" s="12">
        <f t="shared" si="8"/>
        <v>6.3014881724981583E-2</v>
      </c>
      <c r="X23" s="12">
        <f t="shared" si="9"/>
        <v>0.16594282530361748</v>
      </c>
      <c r="Y23" s="12">
        <f t="shared" si="10"/>
        <v>2.0938892143999999E-6</v>
      </c>
      <c r="Z23" s="12">
        <f t="shared" si="11"/>
        <v>7.6831885245589301E-2</v>
      </c>
      <c r="AA23" s="12">
        <f t="shared" si="12"/>
        <v>5.3947854600645806E-4</v>
      </c>
      <c r="AB23" s="12">
        <f t="shared" si="13"/>
        <v>1.5294972092287529E-4</v>
      </c>
      <c r="AC23" s="12">
        <f t="shared" si="14"/>
        <v>9.8942170797112913E-2</v>
      </c>
      <c r="AD23" s="12">
        <f t="shared" si="15"/>
        <v>1.2155744179200002E-8</v>
      </c>
      <c r="AE23" s="12">
        <f t="shared" si="16"/>
        <v>2.8136608204092513E-3</v>
      </c>
      <c r="AF23" s="12">
        <f t="shared" si="17"/>
        <v>5.265524248211638E-5</v>
      </c>
      <c r="AG23" s="12">
        <f t="shared" si="18"/>
        <v>2.7103121693337803E-4</v>
      </c>
      <c r="AH23" s="12">
        <f t="shared" si="19"/>
        <v>1.1711411946105769E-3</v>
      </c>
      <c r="AI23" s="12">
        <f t="shared" si="20"/>
        <v>9.0387917008385499E-9</v>
      </c>
      <c r="AJ23" s="12">
        <f t="shared" si="21"/>
        <v>3.426541534887868E-4</v>
      </c>
      <c r="AK23" s="12">
        <f t="shared" si="22"/>
        <v>1.134346764947896E-2</v>
      </c>
      <c r="AL23" s="12">
        <f t="shared" si="23"/>
        <v>5.8387991325400818E-2</v>
      </c>
      <c r="AM23" s="12">
        <f t="shared" si="24"/>
        <v>0.25229780792575823</v>
      </c>
      <c r="AN23" s="12">
        <f t="shared" si="25"/>
        <v>1.9472181005274891E-6</v>
      </c>
      <c r="AO23" s="12">
        <f t="shared" si="26"/>
        <v>7.3817650851760452E-2</v>
      </c>
      <c r="AP23" s="12">
        <f t="shared" si="46"/>
        <v>1.134346764947896E-2</v>
      </c>
      <c r="AQ23" s="12">
        <f t="shared" si="29"/>
        <v>5.8387991325400818E-2</v>
      </c>
      <c r="AR23" s="12">
        <f t="shared" si="47"/>
        <v>0.25224605066947381</v>
      </c>
      <c r="AS23" s="12">
        <f t="shared" si="31"/>
        <v>1.9472181005274891E-6</v>
      </c>
      <c r="AT23" s="12">
        <f t="shared" si="52"/>
        <v>6.994153356414276E-2</v>
      </c>
      <c r="AU23" s="11">
        <f t="shared" si="53"/>
        <v>2.5183730132925193E-2</v>
      </c>
      <c r="AV23" s="11">
        <f t="shared" si="54"/>
        <v>3.5277504107477249</v>
      </c>
      <c r="AW23" s="11">
        <f t="shared" si="55"/>
        <v>0.37592004304066884</v>
      </c>
      <c r="AX23" s="11">
        <f t="shared" si="56"/>
        <v>5.2770985520851019E-6</v>
      </c>
      <c r="AY23" s="11">
        <f t="shared" si="57"/>
        <v>0.24006326402495062</v>
      </c>
      <c r="AZ23" s="11">
        <f t="shared" si="48"/>
        <v>0.45042841507614939</v>
      </c>
      <c r="BA23" s="11">
        <f t="shared" si="49"/>
        <v>1.6551055071105551E-2</v>
      </c>
      <c r="BB23" s="11">
        <f t="shared" si="34"/>
        <v>0.67100984727804103</v>
      </c>
      <c r="BC23" s="11">
        <f t="shared" si="45"/>
        <v>0.36899407530641981</v>
      </c>
      <c r="BD23" s="11">
        <f t="shared" si="36"/>
        <v>0.29134625761346594</v>
      </c>
      <c r="BF23" s="18" t="s">
        <v>117</v>
      </c>
      <c r="BG23" s="14">
        <v>127.99999999999994</v>
      </c>
      <c r="BH23" s="16">
        <v>0.55279483943757979</v>
      </c>
    </row>
    <row r="24" spans="1:94" x14ac:dyDescent="0.25">
      <c r="B24" s="11" t="s">
        <v>107</v>
      </c>
      <c r="C24" s="12" t="s">
        <v>117</v>
      </c>
      <c r="D24" s="14">
        <f t="shared" si="37"/>
        <v>287</v>
      </c>
      <c r="E24" s="10">
        <f t="shared" si="50"/>
        <v>0.19930555555555557</v>
      </c>
      <c r="F24" s="10">
        <v>0.62013888888888891</v>
      </c>
      <c r="G24" s="13">
        <v>10.116300000000001</v>
      </c>
      <c r="H24" s="13">
        <v>19.096499999999999</v>
      </c>
      <c r="I24" s="13">
        <v>14.737500000000001</v>
      </c>
      <c r="J24" s="13">
        <f t="shared" si="1"/>
        <v>4.3589999999999982</v>
      </c>
      <c r="K24" s="13">
        <f t="shared" si="2"/>
        <v>4.6212</v>
      </c>
      <c r="L24" s="17">
        <v>60842</v>
      </c>
      <c r="M24" s="17">
        <v>1333</v>
      </c>
      <c r="N24" s="17">
        <v>6679240</v>
      </c>
      <c r="O24" s="17">
        <v>75150</v>
      </c>
      <c r="P24" s="17">
        <v>692096</v>
      </c>
      <c r="Q24" s="12">
        <f t="shared" si="3"/>
        <v>10.387181550559736</v>
      </c>
      <c r="R24" s="12">
        <f t="shared" si="4"/>
        <v>98.824938422253865</v>
      </c>
      <c r="S24" s="12">
        <f t="shared" si="5"/>
        <v>94.267629982856235</v>
      </c>
      <c r="T24" s="12">
        <f t="shared" si="0"/>
        <v>4.0060000000000003E-4</v>
      </c>
      <c r="U24" s="12">
        <f t="shared" si="6"/>
        <v>132.63969439469571</v>
      </c>
      <c r="V24" s="12">
        <f t="shared" si="7"/>
        <v>1.2860369477748011E-2</v>
      </c>
      <c r="W24" s="12">
        <f t="shared" si="8"/>
        <v>6.0259108794057235E-2</v>
      </c>
      <c r="X24" s="12">
        <f t="shared" si="9"/>
        <v>0.17047358206099722</v>
      </c>
      <c r="Y24" s="12">
        <f t="shared" si="10"/>
        <v>2.4189429799999999E-6</v>
      </c>
      <c r="Z24" s="12">
        <f t="shared" si="11"/>
        <v>8.7144279217315102E-2</v>
      </c>
      <c r="AA24" s="12">
        <f t="shared" si="12"/>
        <v>5.9345084352812943E-4</v>
      </c>
      <c r="AB24" s="12">
        <f t="shared" si="13"/>
        <v>1.462609088649357E-4</v>
      </c>
      <c r="AC24" s="12">
        <f t="shared" si="14"/>
        <v>0.10164360069086481</v>
      </c>
      <c r="AD24" s="12">
        <f t="shared" si="15"/>
        <v>1.4042792640000001E-8</v>
      </c>
      <c r="AE24" s="12">
        <f t="shared" si="16"/>
        <v>3.1913110471363786E-3</v>
      </c>
      <c r="AF24" s="12">
        <f t="shared" si="17"/>
        <v>5.8800805591615747E-5</v>
      </c>
      <c r="AG24" s="12">
        <f t="shared" si="18"/>
        <v>2.6334535614534201E-4</v>
      </c>
      <c r="AH24" s="12">
        <f t="shared" si="19"/>
        <v>1.2128097517165111E-3</v>
      </c>
      <c r="AI24" s="12">
        <f t="shared" si="20"/>
        <v>1.0609067003167964E-8</v>
      </c>
      <c r="AJ24" s="12">
        <f t="shared" si="21"/>
        <v>3.94609599719303E-4</v>
      </c>
      <c r="AK24" s="12">
        <f t="shared" si="22"/>
        <v>1.2724142125771606E-2</v>
      </c>
      <c r="AL24" s="12">
        <f t="shared" si="23"/>
        <v>5.698635768747122E-2</v>
      </c>
      <c r="AM24" s="12">
        <f t="shared" si="24"/>
        <v>0.26244476580033566</v>
      </c>
      <c r="AN24" s="12">
        <f t="shared" si="25"/>
        <v>2.2957385534423878E-6</v>
      </c>
      <c r="AO24" s="12">
        <f t="shared" si="26"/>
        <v>8.5391153752121321E-2</v>
      </c>
      <c r="AP24" s="12">
        <f t="shared" si="46"/>
        <v>1.2724142125771606E-2</v>
      </c>
      <c r="AQ24" s="12">
        <f t="shared" si="29"/>
        <v>5.698635768747122E-2</v>
      </c>
      <c r="AR24" s="12">
        <f t="shared" si="47"/>
        <v>0.26239300854405123</v>
      </c>
      <c r="AS24" s="12">
        <f t="shared" si="31"/>
        <v>2.2957385534423878E-6</v>
      </c>
      <c r="AT24" s="12">
        <f t="shared" si="52"/>
        <v>8.1515036464503629E-2</v>
      </c>
      <c r="AU24" s="11">
        <f t="shared" si="53"/>
        <v>2.4999104579415048E-2</v>
      </c>
      <c r="AV24" s="11">
        <f t="shared" si="54"/>
        <v>3.3712055390742681</v>
      </c>
      <c r="AW24" s="11">
        <f t="shared" si="55"/>
        <v>0.37508843674470027</v>
      </c>
      <c r="AX24" s="11">
        <f t="shared" si="56"/>
        <v>5.3234659721662367E-6</v>
      </c>
      <c r="AY24" s="11">
        <f t="shared" si="57"/>
        <v>0.23906345411375998</v>
      </c>
      <c r="AZ24" s="11">
        <f t="shared" si="48"/>
        <v>0.50898391521786801</v>
      </c>
      <c r="BA24" s="11">
        <f t="shared" si="49"/>
        <v>1.6903851464102559E-2</v>
      </c>
      <c r="BB24" s="11">
        <f t="shared" si="34"/>
        <v>0.69954971371897046</v>
      </c>
      <c r="BC24" s="11">
        <f t="shared" si="45"/>
        <v>0.43124884529095631</v>
      </c>
      <c r="BD24" s="11">
        <f t="shared" si="36"/>
        <v>0.34097656944969157</v>
      </c>
      <c r="BF24" s="16" t="s">
        <v>127</v>
      </c>
      <c r="BG24" s="14">
        <v>142</v>
      </c>
      <c r="BH24" s="16">
        <v>0.65020030821168184</v>
      </c>
    </row>
    <row r="25" spans="1:94" s="4" customFormat="1" x14ac:dyDescent="0.25">
      <c r="B25" s="4" t="s">
        <v>108</v>
      </c>
      <c r="C25" s="5" t="s">
        <v>44</v>
      </c>
      <c r="D25" s="6">
        <f t="shared" si="37"/>
        <v>297</v>
      </c>
      <c r="E25" s="7">
        <f t="shared" si="50"/>
        <v>0.20624999999999999</v>
      </c>
      <c r="F25" s="7">
        <v>0.62708333333333333</v>
      </c>
      <c r="G25" s="8">
        <v>10.004300000000001</v>
      </c>
      <c r="H25" s="8">
        <v>18.813199999999998</v>
      </c>
      <c r="I25" s="8">
        <v>14.5906</v>
      </c>
      <c r="J25" s="8">
        <f t="shared" si="1"/>
        <v>4.2225999999999981</v>
      </c>
      <c r="K25" s="8">
        <f t="shared" si="2"/>
        <v>4.5862999999999996</v>
      </c>
      <c r="L25" s="19">
        <v>163457</v>
      </c>
      <c r="M25" s="19">
        <v>27048</v>
      </c>
      <c r="N25" s="19">
        <v>9622123</v>
      </c>
      <c r="O25" s="19">
        <v>213480</v>
      </c>
      <c r="P25" s="19">
        <v>2020846</v>
      </c>
      <c r="Q25" s="5">
        <f t="shared" si="3"/>
        <v>20.839861058764807</v>
      </c>
      <c r="R25" s="5">
        <f t="shared" si="4"/>
        <v>5909.7304137572601</v>
      </c>
      <c r="S25" s="5">
        <f t="shared" si="5"/>
        <v>136.66434241424517</v>
      </c>
      <c r="T25" s="5">
        <f t="shared" si="0"/>
        <v>9.5392000000000014E-4</v>
      </c>
      <c r="U25" s="5">
        <f t="shared" si="6"/>
        <v>385.80244255611018</v>
      </c>
      <c r="V25" s="5">
        <f t="shared" si="7"/>
        <v>2.5801831976856707E-2</v>
      </c>
      <c r="W25" s="5">
        <f t="shared" si="8"/>
        <v>3.6034941547300368</v>
      </c>
      <c r="X25" s="5">
        <f t="shared" si="9"/>
        <v>0.24714379682192095</v>
      </c>
      <c r="Y25" s="5">
        <f t="shared" si="10"/>
        <v>5.7600551360000009E-6</v>
      </c>
      <c r="Z25" s="5">
        <f t="shared" si="11"/>
        <v>0.25347220475936444</v>
      </c>
      <c r="AA25" s="5">
        <f t="shared" si="12"/>
        <v>1.1906437818704097E-3</v>
      </c>
      <c r="AB25" s="5">
        <f t="shared" si="13"/>
        <v>8.7464010123607452E-3</v>
      </c>
      <c r="AC25" s="5">
        <f t="shared" si="14"/>
        <v>0.14735764388644779</v>
      </c>
      <c r="AD25" s="5">
        <f t="shared" si="15"/>
        <v>3.343909324800001E-8</v>
      </c>
      <c r="AE25" s="5">
        <f t="shared" si="16"/>
        <v>9.2824067679000092E-3</v>
      </c>
      <c r="AF25" s="5">
        <f t="shared" si="17"/>
        <v>1.1441146528226734E-4</v>
      </c>
      <c r="AG25" s="5">
        <f t="shared" si="18"/>
        <v>1.5256228036726036E-2</v>
      </c>
      <c r="AH25" s="5">
        <f t="shared" si="19"/>
        <v>1.7194157586166584E-3</v>
      </c>
      <c r="AI25" s="5">
        <f t="shared" si="20"/>
        <v>2.4475770530636899E-8</v>
      </c>
      <c r="AJ25" s="5">
        <f t="shared" si="21"/>
        <v>1.1128836339765115E-3</v>
      </c>
      <c r="AK25" s="5">
        <f t="shared" si="22"/>
        <v>2.4946354421269291E-2</v>
      </c>
      <c r="AL25" s="5">
        <f t="shared" si="23"/>
        <v>3.326478432881852</v>
      </c>
      <c r="AM25" s="5">
        <f t="shared" si="24"/>
        <v>0.37490259220213651</v>
      </c>
      <c r="AN25" s="5">
        <f t="shared" si="25"/>
        <v>5.3367138064751325E-6</v>
      </c>
      <c r="AO25" s="5">
        <f t="shared" si="26"/>
        <v>0.24265391142675177</v>
      </c>
      <c r="AP25" s="5">
        <f t="shared" si="46"/>
        <v>2.4946354421269291E-2</v>
      </c>
      <c r="AQ25" s="5">
        <f t="shared" si="29"/>
        <v>3.326478432881852</v>
      </c>
      <c r="AR25" s="5">
        <f t="shared" si="47"/>
        <v>0.37485083494585208</v>
      </c>
      <c r="AS25" s="5">
        <f t="shared" si="31"/>
        <v>5.3367138064751325E-6</v>
      </c>
      <c r="AT25" s="5">
        <f t="shared" si="52"/>
        <v>0.23877779413913408</v>
      </c>
      <c r="AU25" s="4">
        <f>AP25</f>
        <v>2.4946354421269291E-2</v>
      </c>
      <c r="AV25" s="4">
        <f t="shared" ref="AV25:AY25" si="58">AQ25</f>
        <v>3.326478432881852</v>
      </c>
      <c r="AW25" s="4">
        <f t="shared" si="58"/>
        <v>0.37485083494585208</v>
      </c>
      <c r="AX25" s="4">
        <f t="shared" si="58"/>
        <v>5.3367138064751325E-6</v>
      </c>
      <c r="AY25" s="4">
        <f t="shared" si="58"/>
        <v>0.23877779413913408</v>
      </c>
      <c r="AZ25" s="4">
        <f t="shared" si="48"/>
        <v>1</v>
      </c>
      <c r="BA25" s="4">
        <f t="shared" si="49"/>
        <v>1</v>
      </c>
      <c r="BB25" s="4">
        <f t="shared" si="34"/>
        <v>1</v>
      </c>
      <c r="BC25" s="4">
        <f t="shared" si="45"/>
        <v>1</v>
      </c>
      <c r="BD25" s="4">
        <f t="shared" si="36"/>
        <v>1</v>
      </c>
      <c r="BF25" s="5" t="s">
        <v>43</v>
      </c>
      <c r="BG25" s="6">
        <v>150.00000000000003</v>
      </c>
      <c r="BH25" s="4">
        <v>0.99066109789760848</v>
      </c>
    </row>
    <row r="26" spans="1:94" x14ac:dyDescent="0.25">
      <c r="B26" s="11" t="s">
        <v>109</v>
      </c>
      <c r="C26" s="12" t="s">
        <v>117</v>
      </c>
      <c r="D26" s="14">
        <f t="shared" si="37"/>
        <v>314.00000000000006</v>
      </c>
      <c r="E26" s="10">
        <f t="shared" si="50"/>
        <v>0.21805555555555561</v>
      </c>
      <c r="F26" s="10">
        <v>0.63888888888888895</v>
      </c>
      <c r="G26" s="13">
        <v>10.089600000000001</v>
      </c>
      <c r="H26" s="13">
        <v>18.9298</v>
      </c>
      <c r="I26" s="13">
        <v>14.725</v>
      </c>
      <c r="J26" s="13">
        <f t="shared" si="1"/>
        <v>4.2048000000000005</v>
      </c>
      <c r="K26" s="13">
        <f t="shared" si="2"/>
        <v>4.6353999999999989</v>
      </c>
      <c r="L26" s="17">
        <v>66325</v>
      </c>
      <c r="M26" s="17">
        <v>1363</v>
      </c>
      <c r="N26" s="17">
        <v>5737733</v>
      </c>
      <c r="O26" s="17">
        <v>85782</v>
      </c>
      <c r="P26" s="17">
        <v>784600</v>
      </c>
      <c r="Q26" s="12">
        <f t="shared" si="3"/>
        <v>10.94569679436901</v>
      </c>
      <c r="R26" s="12">
        <f t="shared" si="4"/>
        <v>105.60413983232776</v>
      </c>
      <c r="S26" s="12">
        <f t="shared" si="5"/>
        <v>80.703787474968664</v>
      </c>
      <c r="T26" s="12">
        <f t="shared" si="0"/>
        <v>4.4312799999999999E-4</v>
      </c>
      <c r="U26" s="12">
        <f t="shared" si="6"/>
        <v>150.26420378767671</v>
      </c>
      <c r="V26" s="12">
        <f t="shared" si="7"/>
        <v>1.3551867201108271E-2</v>
      </c>
      <c r="W26" s="12">
        <f t="shared" si="8"/>
        <v>6.4392768190443761E-2</v>
      </c>
      <c r="X26" s="12">
        <f t="shared" si="9"/>
        <v>0.14594472926973331</v>
      </c>
      <c r="Y26" s="12">
        <f t="shared" si="10"/>
        <v>2.6757398023999997E-6</v>
      </c>
      <c r="Z26" s="12">
        <f t="shared" si="11"/>
        <v>9.8723581888503609E-2</v>
      </c>
      <c r="AA26" s="12">
        <f t="shared" si="12"/>
        <v>6.2536049495268457E-4</v>
      </c>
      <c r="AB26" s="12">
        <f t="shared" si="13"/>
        <v>1.5629412695184508E-4</v>
      </c>
      <c r="AC26" s="12">
        <f t="shared" si="14"/>
        <v>8.7018455325947583E-2</v>
      </c>
      <c r="AD26" s="12">
        <f t="shared" si="15"/>
        <v>1.5533586163200001E-8</v>
      </c>
      <c r="AE26" s="12">
        <f t="shared" si="16"/>
        <v>3.6153567431315009E-3</v>
      </c>
      <c r="AF26" s="12">
        <f t="shared" si="17"/>
        <v>5.9881687245523739E-5</v>
      </c>
      <c r="AG26" s="12">
        <f t="shared" si="18"/>
        <v>2.7148319748325055E-4</v>
      </c>
      <c r="AH26" s="12">
        <f t="shared" si="19"/>
        <v>1.017033745451272E-3</v>
      </c>
      <c r="AI26" s="12">
        <f t="shared" si="20"/>
        <v>1.1322955106432417E-8</v>
      </c>
      <c r="AJ26" s="12">
        <f t="shared" si="21"/>
        <v>4.3187154177189185E-4</v>
      </c>
      <c r="AK26" s="12">
        <f t="shared" si="22"/>
        <v>1.2918343022290149E-2</v>
      </c>
      <c r="AL26" s="12">
        <f t="shared" si="23"/>
        <v>5.8567372283567898E-2</v>
      </c>
      <c r="AM26" s="12">
        <f t="shared" si="24"/>
        <v>0.21940582160143079</v>
      </c>
      <c r="AN26" s="12">
        <f t="shared" si="25"/>
        <v>2.4427137046279543E-6</v>
      </c>
      <c r="AO26" s="12">
        <f t="shared" si="26"/>
        <v>9.3168128267655859E-2</v>
      </c>
      <c r="AP26" s="12">
        <f t="shared" si="46"/>
        <v>1.2918343022290149E-2</v>
      </c>
      <c r="AQ26" s="12">
        <f t="shared" si="29"/>
        <v>5.8567372283567898E-2</v>
      </c>
      <c r="AR26" s="12">
        <f t="shared" si="47"/>
        <v>0.2193540643451464</v>
      </c>
      <c r="AS26" s="12">
        <f t="shared" si="31"/>
        <v>2.4427137046279543E-6</v>
      </c>
      <c r="AT26" s="12">
        <f t="shared" si="52"/>
        <v>8.9292010980038167E-2</v>
      </c>
      <c r="AU26" s="11">
        <f>$AU$25+(($AU$29-$AU$25)/($D$29-$D$25))*(D26-$D$25)</f>
        <v>2.4870530324852293E-2</v>
      </c>
      <c r="AV26" s="11">
        <f>$AV$25+(($AV$29-$AV$25)/($D$29-$D$25))*(D26-$D$25)</f>
        <v>3.2958327184589513</v>
      </c>
      <c r="AW26" s="11">
        <f>$AW$25+(($AW$29-$AW$25)/($D$29-$D$25))*(D26-$D$25)</f>
        <v>0.37341169109135164</v>
      </c>
      <c r="AX26" s="11">
        <f>$AX$25+(($AX$29-$AX$25)/($D$29-$D$25))*(D26-$D$25)</f>
        <v>5.3185763583861769E-6</v>
      </c>
      <c r="AY26" s="11">
        <f>$AY$25+(($AY$29-$AY$25)/($D$29-$D$25))*(D26-$D$25)</f>
        <v>0.23738579071535088</v>
      </c>
      <c r="AZ26" s="11">
        <f t="shared" si="48"/>
        <v>0.51942370562887752</v>
      </c>
      <c r="BA26" s="11">
        <f t="shared" si="49"/>
        <v>1.7770128913263697E-2</v>
      </c>
      <c r="BB26" s="11">
        <f t="shared" si="34"/>
        <v>0.58743223519341681</v>
      </c>
      <c r="BC26" s="11">
        <f t="shared" si="45"/>
        <v>0.45927961545129536</v>
      </c>
      <c r="BD26" s="11">
        <f t="shared" si="36"/>
        <v>0.3761472441588054</v>
      </c>
      <c r="BF26" s="18" t="s">
        <v>117</v>
      </c>
      <c r="BG26" s="14">
        <v>156</v>
      </c>
      <c r="BH26" s="16">
        <v>0.73122266604573816</v>
      </c>
    </row>
    <row r="27" spans="1:94" s="4" customFormat="1" x14ac:dyDescent="0.25">
      <c r="A27" s="11"/>
      <c r="B27" s="11" t="s">
        <v>110</v>
      </c>
      <c r="C27" s="12" t="s">
        <v>117</v>
      </c>
      <c r="D27" s="14">
        <f t="shared" si="37"/>
        <v>353.99999999999994</v>
      </c>
      <c r="E27" s="10">
        <f t="shared" si="50"/>
        <v>0.24583333333333329</v>
      </c>
      <c r="F27" s="10">
        <v>0.66666666666666663</v>
      </c>
      <c r="G27" s="13">
        <v>10.1562</v>
      </c>
      <c r="H27" s="13">
        <v>19.098199999999999</v>
      </c>
      <c r="I27" s="13">
        <v>14.996700000000001</v>
      </c>
      <c r="J27" s="13">
        <f t="shared" si="1"/>
        <v>4.1014999999999979</v>
      </c>
      <c r="K27" s="13">
        <f t="shared" si="2"/>
        <v>4.8405000000000005</v>
      </c>
      <c r="L27" s="17">
        <v>87150</v>
      </c>
      <c r="M27" s="17">
        <v>2502</v>
      </c>
      <c r="N27" s="17">
        <v>6105570</v>
      </c>
      <c r="O27" s="17">
        <v>113418</v>
      </c>
      <c r="P27" s="17">
        <v>1032803</v>
      </c>
      <c r="Q27" s="12">
        <f t="shared" si="3"/>
        <v>13.066995344857443</v>
      </c>
      <c r="R27" s="12">
        <f t="shared" si="4"/>
        <v>362.98782003479988</v>
      </c>
      <c r="S27" s="12">
        <f t="shared" si="5"/>
        <v>86.003039776410759</v>
      </c>
      <c r="T27" s="12">
        <f t="shared" si="0"/>
        <v>5.5367200000000006E-4</v>
      </c>
      <c r="U27" s="12">
        <f t="shared" si="6"/>
        <v>197.55357619174634</v>
      </c>
      <c r="V27" s="12">
        <f t="shared" si="7"/>
        <v>1.6178246936468001E-2</v>
      </c>
      <c r="W27" s="12">
        <f t="shared" si="8"/>
        <v>0.22133403660658529</v>
      </c>
      <c r="X27" s="12">
        <f t="shared" si="9"/>
        <v>0.15552789713166121</v>
      </c>
      <c r="Y27" s="12">
        <f t="shared" si="10"/>
        <v>3.3432376376000001E-6</v>
      </c>
      <c r="Z27" s="12">
        <f t="shared" si="11"/>
        <v>0.12979269955797737</v>
      </c>
      <c r="AA27" s="12">
        <f t="shared" si="12"/>
        <v>7.4655664503774023E-4</v>
      </c>
      <c r="AB27" s="12">
        <f t="shared" si="13"/>
        <v>5.3722197365150388E-4</v>
      </c>
      <c r="AC27" s="12">
        <f t="shared" si="14"/>
        <v>9.2732347623716016E-2</v>
      </c>
      <c r="AD27" s="12">
        <f t="shared" si="15"/>
        <v>1.9408639756800002E-8</v>
      </c>
      <c r="AE27" s="12">
        <f t="shared" si="16"/>
        <v>4.7531390431734171E-3</v>
      </c>
      <c r="AF27" s="12">
        <f t="shared" si="17"/>
        <v>6.9968787250228662E-5</v>
      </c>
      <c r="AG27" s="12">
        <f t="shared" si="18"/>
        <v>9.104019741053692E-4</v>
      </c>
      <c r="AH27" s="12">
        <f t="shared" si="19"/>
        <v>1.0867685987581055E-3</v>
      </c>
      <c r="AI27" s="12">
        <f t="shared" si="20"/>
        <v>1.3806236691359184E-8</v>
      </c>
      <c r="AJ27" s="12">
        <f t="shared" si="21"/>
        <v>5.5535232677552488E-4</v>
      </c>
      <c r="AK27" s="12">
        <f t="shared" si="22"/>
        <v>1.4454867730653581E-2</v>
      </c>
      <c r="AL27" s="12">
        <f t="shared" si="23"/>
        <v>0.1880801516589958</v>
      </c>
      <c r="AM27" s="12">
        <f t="shared" si="24"/>
        <v>0.22451577290736607</v>
      </c>
      <c r="AN27" s="12">
        <f t="shared" si="25"/>
        <v>2.8522335897860103E-6</v>
      </c>
      <c r="AO27" s="12">
        <f t="shared" si="26"/>
        <v>0.11473036396560785</v>
      </c>
      <c r="AP27" s="12">
        <f t="shared" si="46"/>
        <v>1.4454867730653581E-2</v>
      </c>
      <c r="AQ27" s="12">
        <f t="shared" si="29"/>
        <v>0.1880801516589958</v>
      </c>
      <c r="AR27" s="12">
        <f t="shared" si="47"/>
        <v>0.22446401565108168</v>
      </c>
      <c r="AS27" s="12">
        <f t="shared" si="31"/>
        <v>2.8522335897860103E-6</v>
      </c>
      <c r="AT27" s="12">
        <f t="shared" si="52"/>
        <v>0.11085424667799015</v>
      </c>
      <c r="AU27" s="11">
        <f t="shared" ref="AU27:AU28" si="59">$AU$25+(($AU$29-$AU$25)/($D$29-$D$25))*(D27-$D$25)</f>
        <v>2.4692120686224062E-2</v>
      </c>
      <c r="AV27" s="11">
        <f t="shared" ref="AV27:AV28" si="60">$AV$25+(($AV$29-$AV$25)/($D$29-$D$25))*(D27-$D$25)</f>
        <v>3.2237251551109503</v>
      </c>
      <c r="AW27" s="11">
        <f t="shared" ref="AW27:AW28" si="61">$AW$25+(($AW$29-$AW$25)/($D$29-$D$25))*(D27-$D$25)</f>
        <v>0.37002547025723292</v>
      </c>
      <c r="AX27" s="11">
        <f t="shared" ref="AX27" si="62">$AX$25+(($AX$29-$AX$25)/($D$29-$D$25))*(D27-$D$25)</f>
        <v>5.2759000099415746E-6</v>
      </c>
      <c r="AY27" s="11">
        <f t="shared" ref="AY27:AY28" si="63">$AY$25+(($AY$29-$AY$25)/($D$29-$D$25))*(D27-$D$25)</f>
        <v>0.23411048854174338</v>
      </c>
      <c r="AZ27" s="11">
        <f t="shared" si="48"/>
        <v>0.58540406125254651</v>
      </c>
      <c r="BA27" s="11">
        <f t="shared" si="49"/>
        <v>5.8342489700404593E-2</v>
      </c>
      <c r="BB27" s="11">
        <f t="shared" si="34"/>
        <v>0.60661774308411698</v>
      </c>
      <c r="BC27" s="11">
        <f t="shared" si="45"/>
        <v>0.5406155507897118</v>
      </c>
      <c r="BD27" s="11">
        <f t="shared" si="36"/>
        <v>0.47351251696791935</v>
      </c>
      <c r="BE27" s="11"/>
      <c r="BF27" s="16" t="s">
        <v>128</v>
      </c>
      <c r="BG27" s="14">
        <v>171</v>
      </c>
      <c r="BH27" s="16">
        <v>0.79639077950524539</v>
      </c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</row>
    <row r="28" spans="1:94" x14ac:dyDescent="0.25">
      <c r="B28" s="11" t="s">
        <v>111</v>
      </c>
      <c r="C28" s="12" t="s">
        <v>117</v>
      </c>
      <c r="D28" s="14">
        <f t="shared" si="37"/>
        <v>399.99999999999994</v>
      </c>
      <c r="E28" s="10">
        <f t="shared" si="50"/>
        <v>0.27777777777777773</v>
      </c>
      <c r="F28" s="10">
        <v>0.69861111111111107</v>
      </c>
      <c r="G28" s="13">
        <v>10.1044</v>
      </c>
      <c r="H28" s="13">
        <v>19.0185</v>
      </c>
      <c r="I28" s="13">
        <v>14.792999999999999</v>
      </c>
      <c r="J28" s="13">
        <f t="shared" si="1"/>
        <v>4.2255000000000003</v>
      </c>
      <c r="K28" s="13">
        <f t="shared" si="2"/>
        <v>4.6885999999999992</v>
      </c>
      <c r="L28" s="17">
        <v>95564</v>
      </c>
      <c r="M28" s="17">
        <v>2582</v>
      </c>
      <c r="N28" s="17">
        <v>4709324</v>
      </c>
      <c r="O28" s="17">
        <v>126641</v>
      </c>
      <c r="P28" s="17">
        <v>1107094</v>
      </c>
      <c r="Q28" s="12">
        <f t="shared" si="3"/>
        <v>13.924071263407727</v>
      </c>
      <c r="R28" s="12">
        <f t="shared" si="4"/>
        <v>381.06569046166362</v>
      </c>
      <c r="S28" s="12">
        <f t="shared" si="5"/>
        <v>65.88798928154668</v>
      </c>
      <c r="T28" s="12">
        <f t="shared" si="0"/>
        <v>6.0656400000000008E-4</v>
      </c>
      <c r="U28" s="12">
        <f t="shared" si="6"/>
        <v>211.70801737606217</v>
      </c>
      <c r="V28" s="12">
        <f t="shared" si="7"/>
        <v>1.7239392631225106E-2</v>
      </c>
      <c r="W28" s="12">
        <f t="shared" si="8"/>
        <v>0.23235712833028269</v>
      </c>
      <c r="X28" s="12">
        <f t="shared" si="9"/>
        <v>0.11915183981674903</v>
      </c>
      <c r="Y28" s="12">
        <f t="shared" si="10"/>
        <v>3.6626154012000003E-6</v>
      </c>
      <c r="Z28" s="12">
        <f t="shared" si="11"/>
        <v>0.13909216741607286</v>
      </c>
      <c r="AA28" s="12">
        <f t="shared" si="12"/>
        <v>7.9552396349227372E-4</v>
      </c>
      <c r="AB28" s="12">
        <f t="shared" si="13"/>
        <v>5.6397722188326221E-4</v>
      </c>
      <c r="AC28" s="12">
        <f t="shared" si="14"/>
        <v>7.1043395002881302E-2</v>
      </c>
      <c r="AD28" s="12">
        <f t="shared" si="15"/>
        <v>2.1262737081600003E-8</v>
      </c>
      <c r="AE28" s="12">
        <f t="shared" si="16"/>
        <v>5.0936948980680559E-3</v>
      </c>
      <c r="AF28" s="12">
        <f t="shared" si="17"/>
        <v>7.6574947218471562E-5</v>
      </c>
      <c r="AG28" s="12">
        <f t="shared" si="18"/>
        <v>9.8446930936213158E-4</v>
      </c>
      <c r="AH28" s="12">
        <f t="shared" si="19"/>
        <v>8.3657016095618222E-4</v>
      </c>
      <c r="AI28" s="12">
        <f t="shared" si="20"/>
        <v>1.5576073846851394E-8</v>
      </c>
      <c r="AJ28" s="12">
        <f t="shared" si="21"/>
        <v>6.1161625131569779E-4</v>
      </c>
      <c r="AK28" s="12">
        <f t="shared" si="22"/>
        <v>1.6332156127302728E-2</v>
      </c>
      <c r="AL28" s="12">
        <f t="shared" si="23"/>
        <v>0.20997084617201975</v>
      </c>
      <c r="AM28" s="12">
        <f t="shared" si="24"/>
        <v>0.17842643026834928</v>
      </c>
      <c r="AN28" s="12">
        <f t="shared" si="25"/>
        <v>3.3221161640684632E-6</v>
      </c>
      <c r="AO28" s="12">
        <f t="shared" si="26"/>
        <v>0.13044752192886958</v>
      </c>
      <c r="AP28" s="12">
        <f t="shared" si="46"/>
        <v>1.6332156127302728E-2</v>
      </c>
      <c r="AQ28" s="12">
        <f t="shared" si="29"/>
        <v>0.20997084617201975</v>
      </c>
      <c r="AR28" s="12">
        <f t="shared" si="47"/>
        <v>0.17837467301206489</v>
      </c>
      <c r="AS28" s="12">
        <f t="shared" si="31"/>
        <v>3.3221161640684632E-6</v>
      </c>
      <c r="AT28" s="12">
        <f t="shared" si="52"/>
        <v>0.12657140464125188</v>
      </c>
      <c r="AU28" s="11">
        <f t="shared" si="59"/>
        <v>2.4486949601801599E-2</v>
      </c>
      <c r="AV28" s="11">
        <f t="shared" si="60"/>
        <v>3.140801457260749</v>
      </c>
      <c r="AW28" s="11">
        <f t="shared" si="61"/>
        <v>0.36613131629799645</v>
      </c>
      <c r="AX28" s="11">
        <f>$AX$25+(($AX$29-$AX$25)/($D$29-$D$25))*(D28-$D$25)</f>
        <v>5.2268222092302821E-6</v>
      </c>
      <c r="AY28" s="11">
        <f t="shared" si="63"/>
        <v>0.23034389104209471</v>
      </c>
      <c r="AZ28" s="11">
        <f t="shared" si="48"/>
        <v>0.66697389396763029</v>
      </c>
      <c r="BA28" s="11">
        <f t="shared" si="49"/>
        <v>6.6852632689219996E-2</v>
      </c>
      <c r="BB28" s="11">
        <f t="shared" si="34"/>
        <v>0.4871876976152586</v>
      </c>
      <c r="BC28" s="11">
        <f t="shared" ref="BC28:BC36" si="64">AS28/AX28</f>
        <v>0.63559004517157436</v>
      </c>
      <c r="BD28" s="11">
        <f t="shared" si="36"/>
        <v>0.54948887104681798</v>
      </c>
      <c r="BF28" s="18" t="s">
        <v>117</v>
      </c>
      <c r="BG28" s="14">
        <v>183.00000000000006</v>
      </c>
      <c r="BH28" s="16">
        <v>0.74422103096660652</v>
      </c>
    </row>
    <row r="29" spans="1:94" s="4" customFormat="1" x14ac:dyDescent="0.25">
      <c r="B29" s="4" t="s">
        <v>112</v>
      </c>
      <c r="C29" s="5" t="s">
        <v>45</v>
      </c>
      <c r="D29" s="6">
        <f t="shared" si="37"/>
        <v>447.99999999999994</v>
      </c>
      <c r="E29" s="7">
        <f t="shared" si="50"/>
        <v>0.31111111111111106</v>
      </c>
      <c r="F29" s="7">
        <v>0.7319444444444444</v>
      </c>
      <c r="G29" s="8">
        <v>10.0276</v>
      </c>
      <c r="H29" s="8">
        <v>18.852799999999998</v>
      </c>
      <c r="I29" s="8">
        <v>14.5055</v>
      </c>
      <c r="J29" s="8">
        <f t="shared" si="1"/>
        <v>4.3472999999999988</v>
      </c>
      <c r="K29" s="8">
        <f t="shared" si="2"/>
        <v>4.4779</v>
      </c>
      <c r="L29" s="19">
        <v>148120</v>
      </c>
      <c r="M29" s="19">
        <v>23671</v>
      </c>
      <c r="N29" s="19">
        <v>9005522</v>
      </c>
      <c r="O29" s="19">
        <v>194408</v>
      </c>
      <c r="P29" s="19">
        <v>1822032</v>
      </c>
      <c r="Q29" s="5">
        <f t="shared" si="3"/>
        <v>19.277587067463916</v>
      </c>
      <c r="R29" s="5">
        <f t="shared" si="4"/>
        <v>5146.618308363275</v>
      </c>
      <c r="S29" s="5">
        <f t="shared" si="5"/>
        <v>127.78126575713483</v>
      </c>
      <c r="T29" s="5">
        <f t="shared" si="0"/>
        <v>8.7763200000000004E-4</v>
      </c>
      <c r="U29" s="5">
        <f t="shared" si="6"/>
        <v>347.92300804023927</v>
      </c>
      <c r="V29" s="5">
        <f t="shared" si="7"/>
        <v>2.3867580548227074E-2</v>
      </c>
      <c r="W29" s="5">
        <f t="shared" si="8"/>
        <v>3.1381818953434601</v>
      </c>
      <c r="X29" s="5">
        <f t="shared" si="9"/>
        <v>0.23107964099520262</v>
      </c>
      <c r="Y29" s="5">
        <f t="shared" si="10"/>
        <v>5.2994053055999997E-6</v>
      </c>
      <c r="Z29" s="5">
        <f t="shared" si="11"/>
        <v>0.22858541628243723</v>
      </c>
      <c r="AA29" s="5">
        <f t="shared" si="12"/>
        <v>1.101386381925416E-3</v>
      </c>
      <c r="AB29" s="5">
        <f t="shared" si="13"/>
        <v>7.6169950963776469E-3</v>
      </c>
      <c r="AC29" s="5">
        <f t="shared" si="14"/>
        <v>0.13777951089630183</v>
      </c>
      <c r="AD29" s="5">
        <f t="shared" si="15"/>
        <v>3.07648631808E-8</v>
      </c>
      <c r="AE29" s="5">
        <f t="shared" si="16"/>
        <v>8.3710275734481567E-3</v>
      </c>
      <c r="AF29" s="5">
        <f t="shared" si="17"/>
        <v>1.0869143099693136E-4</v>
      </c>
      <c r="AG29" s="5">
        <f t="shared" si="18"/>
        <v>1.3676726295968691E-2</v>
      </c>
      <c r="AH29" s="5">
        <f t="shared" si="19"/>
        <v>1.621535395140994E-3</v>
      </c>
      <c r="AI29" s="5">
        <f t="shared" si="20"/>
        <v>2.3175866665872176E-8</v>
      </c>
      <c r="AJ29" s="5">
        <f t="shared" si="21"/>
        <v>1.0312140045757826E-3</v>
      </c>
      <c r="AK29" s="5">
        <f t="shared" si="22"/>
        <v>2.4272858035447722E-2</v>
      </c>
      <c r="AL29" s="5">
        <f t="shared" si="23"/>
        <v>3.0542723812431474</v>
      </c>
      <c r="AM29" s="5">
        <f t="shared" si="24"/>
        <v>0.36211960855333841</v>
      </c>
      <c r="AN29" s="5">
        <f t="shared" si="25"/>
        <v>5.1756105910967591E-6</v>
      </c>
      <c r="AO29" s="5">
        <f t="shared" si="26"/>
        <v>0.23028964572138338</v>
      </c>
      <c r="AP29" s="5">
        <f t="shared" si="46"/>
        <v>2.4272858035447722E-2</v>
      </c>
      <c r="AQ29" s="5">
        <f t="shared" si="29"/>
        <v>3.0542723812431474</v>
      </c>
      <c r="AR29" s="5">
        <f t="shared" si="47"/>
        <v>0.36206785129705399</v>
      </c>
      <c r="AS29" s="5">
        <f t="shared" si="31"/>
        <v>5.1756105910967591E-6</v>
      </c>
      <c r="AT29" s="5">
        <f t="shared" si="52"/>
        <v>0.22641352843376569</v>
      </c>
      <c r="AU29" s="4">
        <f>AP29</f>
        <v>2.4272858035447722E-2</v>
      </c>
      <c r="AV29" s="4">
        <f t="shared" ref="AV29:AY29" si="65">AQ29</f>
        <v>3.0542723812431474</v>
      </c>
      <c r="AW29" s="4">
        <f t="shared" si="65"/>
        <v>0.36206785129705399</v>
      </c>
      <c r="AX29" s="4">
        <f t="shared" si="65"/>
        <v>5.1756105910967591E-6</v>
      </c>
      <c r="AY29" s="4">
        <f t="shared" si="65"/>
        <v>0.22641352843376569</v>
      </c>
      <c r="AZ29" s="4">
        <f t="shared" si="48"/>
        <v>1</v>
      </c>
      <c r="BA29" s="4">
        <f t="shared" si="49"/>
        <v>1</v>
      </c>
      <c r="BB29" s="4">
        <f t="shared" si="34"/>
        <v>1</v>
      </c>
      <c r="BC29" s="4">
        <f t="shared" si="64"/>
        <v>1</v>
      </c>
      <c r="BD29" s="4">
        <f t="shared" si="36"/>
        <v>1</v>
      </c>
      <c r="BF29" s="16" t="s">
        <v>129</v>
      </c>
      <c r="BG29" s="14">
        <v>192</v>
      </c>
      <c r="BH29" s="16">
        <v>0.8325182422238252</v>
      </c>
    </row>
    <row r="30" spans="1:94" s="4" customFormat="1" x14ac:dyDescent="0.25">
      <c r="A30" s="11"/>
      <c r="B30" s="11" t="s">
        <v>113</v>
      </c>
      <c r="C30" s="12" t="s">
        <v>117</v>
      </c>
      <c r="D30" s="14">
        <f t="shared" si="37"/>
        <v>459.00000000000006</v>
      </c>
      <c r="E30" s="10">
        <f t="shared" si="50"/>
        <v>0.31875000000000003</v>
      </c>
      <c r="F30" s="10">
        <v>0.73958333333333337</v>
      </c>
      <c r="G30" s="13">
        <v>9.9755000000000003</v>
      </c>
      <c r="H30" s="13">
        <v>18.9983</v>
      </c>
      <c r="I30" s="13">
        <v>14.729900000000001</v>
      </c>
      <c r="J30" s="13">
        <f t="shared" si="1"/>
        <v>4.2683999999999997</v>
      </c>
      <c r="K30" s="13">
        <f t="shared" si="2"/>
        <v>4.7544000000000004</v>
      </c>
      <c r="L30" s="17">
        <v>106268</v>
      </c>
      <c r="M30" s="17">
        <v>3492</v>
      </c>
      <c r="N30" s="17">
        <v>3182115</v>
      </c>
      <c r="O30" s="17">
        <v>139633</v>
      </c>
      <c r="P30" s="17">
        <v>1229403</v>
      </c>
      <c r="Q30" s="12">
        <f t="shared" si="3"/>
        <v>15.014413625204998</v>
      </c>
      <c r="R30" s="12">
        <f t="shared" si="4"/>
        <v>586.70146656723841</v>
      </c>
      <c r="S30" s="12">
        <f t="shared" si="5"/>
        <v>43.886217279184017</v>
      </c>
      <c r="T30" s="12">
        <f t="shared" si="0"/>
        <v>6.5853200000000008E-4</v>
      </c>
      <c r="U30" s="12">
        <f t="shared" si="6"/>
        <v>235.01118393476352</v>
      </c>
      <c r="V30" s="12">
        <f t="shared" si="7"/>
        <v>1.8589345509366306E-2</v>
      </c>
      <c r="W30" s="12">
        <f t="shared" si="8"/>
        <v>0.35774479668734049</v>
      </c>
      <c r="X30" s="12">
        <f t="shared" si="9"/>
        <v>7.9363835327676366E-2</v>
      </c>
      <c r="Y30" s="12">
        <f t="shared" si="10"/>
        <v>3.9764137756000003E-6</v>
      </c>
      <c r="Z30" s="12">
        <f t="shared" si="11"/>
        <v>0.15440234784513965</v>
      </c>
      <c r="AA30" s="12">
        <f t="shared" si="12"/>
        <v>8.5781849364883719E-4</v>
      </c>
      <c r="AB30" s="12">
        <f t="shared" si="13"/>
        <v>8.6831817051951287E-4</v>
      </c>
      <c r="AC30" s="12">
        <f t="shared" si="14"/>
        <v>4.7320094350193777E-2</v>
      </c>
      <c r="AD30" s="12">
        <f t="shared" si="15"/>
        <v>2.3084444140800003E-8</v>
      </c>
      <c r="AE30" s="12">
        <f t="shared" si="16"/>
        <v>5.6543690854704096E-3</v>
      </c>
      <c r="AF30" s="12">
        <f t="shared" si="17"/>
        <v>8.342517461838317E-5</v>
      </c>
      <c r="AG30" s="12">
        <f t="shared" si="18"/>
        <v>1.5311262220901621E-3</v>
      </c>
      <c r="AH30" s="12">
        <f t="shared" si="19"/>
        <v>5.6373525129121515E-4</v>
      </c>
      <c r="AI30" s="12">
        <f t="shared" si="20"/>
        <v>1.7082677240994063E-8</v>
      </c>
      <c r="AJ30" s="12">
        <f t="shared" si="21"/>
        <v>6.859341139221545E-4</v>
      </c>
      <c r="AK30" s="12">
        <f t="shared" si="22"/>
        <v>1.7546940648322219E-2</v>
      </c>
      <c r="AL30" s="12">
        <f t="shared" si="23"/>
        <v>0.32204404805867443</v>
      </c>
      <c r="AM30" s="12">
        <f t="shared" si="24"/>
        <v>0.11857127109439995</v>
      </c>
      <c r="AN30" s="12">
        <f t="shared" si="25"/>
        <v>3.5930248277372669E-6</v>
      </c>
      <c r="AO30" s="12">
        <f t="shared" si="26"/>
        <v>0.14427353902114975</v>
      </c>
      <c r="AP30" s="12">
        <f t="shared" si="46"/>
        <v>1.7546940648322219E-2</v>
      </c>
      <c r="AQ30" s="12">
        <f t="shared" si="29"/>
        <v>0.32204404805867443</v>
      </c>
      <c r="AR30" s="12">
        <f t="shared" si="47"/>
        <v>0.11851951383811554</v>
      </c>
      <c r="AS30" s="12">
        <f t="shared" si="31"/>
        <v>3.5930248277372669E-6</v>
      </c>
      <c r="AT30" s="12">
        <f t="shared" si="52"/>
        <v>0.14039742173353206</v>
      </c>
      <c r="AU30" s="11">
        <f>$AU$29+(($AU$33-$AU$29)/($D$33-$D$29))*(D30-$D$29)</f>
        <v>2.4173633246965601E-2</v>
      </c>
      <c r="AV30" s="11">
        <f>$AV$29+(($AV$33-$AV$29)/($D$33-$D$29))*(D30-$D$29)</f>
        <v>3.0270534173084127</v>
      </c>
      <c r="AW30" s="11">
        <f>$AW$29+(($AW$33-$AW$29)/($D$33-$D$29))*(D30-$D$29)</f>
        <v>0.36101549709431263</v>
      </c>
      <c r="AX30" s="11">
        <f>$AX$29+(($AX$33-$AX$29)/($D$33-$D$29))*(D30-$D$29)</f>
        <v>5.1680677448297141E-6</v>
      </c>
      <c r="AY30" s="11">
        <f>$AY$29+(($AY$33-$AY$29)/($D$33-$D$29))*(D30-$D$29)</f>
        <v>0.22582519209725316</v>
      </c>
      <c r="AZ30" s="11">
        <f t="shared" si="48"/>
        <v>0.72587105417944575</v>
      </c>
      <c r="BA30" s="11">
        <f t="shared" si="49"/>
        <v>0.1063886240715992</v>
      </c>
      <c r="BB30" s="11">
        <f t="shared" si="34"/>
        <v>0.32829480948058359</v>
      </c>
      <c r="BC30" s="11">
        <f t="shared" si="64"/>
        <v>0.69523562869930133</v>
      </c>
      <c r="BD30" s="11">
        <f t="shared" si="36"/>
        <v>0.62170841273133493</v>
      </c>
      <c r="BE30" s="11"/>
      <c r="BF30" s="18" t="s">
        <v>117</v>
      </c>
      <c r="BG30" s="14">
        <v>198.00000000000003</v>
      </c>
      <c r="BH30" s="16">
        <v>0.83558566830370462</v>
      </c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</row>
    <row r="31" spans="1:94" x14ac:dyDescent="0.25">
      <c r="B31" s="11" t="s">
        <v>114</v>
      </c>
      <c r="C31" s="12" t="s">
        <v>117</v>
      </c>
      <c r="D31" s="14">
        <f t="shared" si="37"/>
        <v>519</v>
      </c>
      <c r="E31" s="10">
        <f t="shared" si="50"/>
        <v>0.36041666666666666</v>
      </c>
      <c r="F31" s="10">
        <v>0.78125</v>
      </c>
      <c r="G31" s="13">
        <v>10.1174</v>
      </c>
      <c r="H31" s="13">
        <v>18.9373</v>
      </c>
      <c r="I31" s="13">
        <v>14.599</v>
      </c>
      <c r="J31" s="13">
        <f t="shared" si="1"/>
        <v>4.3383000000000003</v>
      </c>
      <c r="K31" s="13">
        <f t="shared" si="2"/>
        <v>4.4816000000000003</v>
      </c>
      <c r="L31" s="17">
        <v>102584</v>
      </c>
      <c r="M31" s="17">
        <v>3897</v>
      </c>
      <c r="N31" s="17">
        <v>2067412</v>
      </c>
      <c r="O31" s="17">
        <v>133749</v>
      </c>
      <c r="P31" s="17">
        <v>1236753</v>
      </c>
      <c r="Q31" s="12">
        <f t="shared" si="3"/>
        <v>14.639150054496746</v>
      </c>
      <c r="R31" s="12">
        <f t="shared" si="4"/>
        <v>678.22068560323589</v>
      </c>
      <c r="S31" s="12">
        <f t="shared" si="5"/>
        <v>27.827222566378055</v>
      </c>
      <c r="T31" s="12">
        <f t="shared" si="0"/>
        <v>6.3499600000000008E-4</v>
      </c>
      <c r="U31" s="12">
        <f t="shared" si="6"/>
        <v>236.41155736767897</v>
      </c>
      <c r="V31" s="12">
        <f t="shared" si="7"/>
        <v>1.812473168247242E-2</v>
      </c>
      <c r="W31" s="12">
        <f t="shared" si="8"/>
        <v>0.41354919853855848</v>
      </c>
      <c r="X31" s="12">
        <f t="shared" si="9"/>
        <v>5.0322749289038071E-2</v>
      </c>
      <c r="Y31" s="12">
        <f t="shared" si="10"/>
        <v>3.8342963467999997E-6</v>
      </c>
      <c r="Z31" s="12">
        <f t="shared" si="11"/>
        <v>0.15532239319056509</v>
      </c>
      <c r="AA31" s="12">
        <f t="shared" si="12"/>
        <v>8.3637856006356251E-4</v>
      </c>
      <c r="AB31" s="12">
        <f t="shared" si="13"/>
        <v>1.0037666146927892E-3</v>
      </c>
      <c r="AC31" s="12">
        <f t="shared" si="14"/>
        <v>3.0004563596084301E-2</v>
      </c>
      <c r="AD31" s="12">
        <f t="shared" si="15"/>
        <v>2.2259403782400003E-8</v>
      </c>
      <c r="AE31" s="12">
        <f t="shared" si="16"/>
        <v>5.6880620702663559E-3</v>
      </c>
      <c r="AF31" s="12">
        <f t="shared" si="17"/>
        <v>8.2378837612850963E-5</v>
      </c>
      <c r="AG31" s="12">
        <f t="shared" si="18"/>
        <v>1.7985989684802357E-3</v>
      </c>
      <c r="AH31" s="12">
        <f t="shared" si="19"/>
        <v>3.5278363545284525E-4</v>
      </c>
      <c r="AI31" s="12">
        <f t="shared" si="20"/>
        <v>1.6734085585313643E-8</v>
      </c>
      <c r="AJ31" s="12">
        <f t="shared" si="21"/>
        <v>6.9932675735273435E-4</v>
      </c>
      <c r="AK31" s="12">
        <f t="shared" si="22"/>
        <v>1.838156854981501E-2</v>
      </c>
      <c r="AL31" s="12">
        <f t="shared" si="23"/>
        <v>0.40132965201718929</v>
      </c>
      <c r="AM31" s="12">
        <f t="shared" si="24"/>
        <v>7.8718233544458505E-2</v>
      </c>
      <c r="AN31" s="12">
        <f t="shared" si="25"/>
        <v>3.7339534062195741E-6</v>
      </c>
      <c r="AO31" s="12">
        <f t="shared" si="26"/>
        <v>0.15604399262601176</v>
      </c>
      <c r="AP31" s="12">
        <f t="shared" si="46"/>
        <v>1.838156854981501E-2</v>
      </c>
      <c r="AQ31" s="12">
        <f t="shared" si="29"/>
        <v>0.40132965201718929</v>
      </c>
      <c r="AR31" s="12">
        <f t="shared" si="47"/>
        <v>7.8666476288174095E-2</v>
      </c>
      <c r="AS31" s="12">
        <f t="shared" si="31"/>
        <v>3.7339534062195741E-6</v>
      </c>
      <c r="AT31" s="12">
        <f t="shared" si="52"/>
        <v>0.15216787533839407</v>
      </c>
      <c r="AU31" s="11">
        <f t="shared" ref="AU31:AU32" si="66">$AU$29+(($AU$33-$AU$29)/($D$33-$D$29))*(D31-$D$29)</f>
        <v>2.3632407127972217E-2</v>
      </c>
      <c r="AV31" s="11">
        <f t="shared" ref="AV31:AV32" si="67">$AV$29+(($AV$33-$AV$29)/($D$33-$D$29))*(D31-$D$29)</f>
        <v>2.8785863413007702</v>
      </c>
      <c r="AW31" s="11">
        <f t="shared" ref="AW31:AW32" si="68">$AW$29+(($AW$33-$AW$29)/($D$33-$D$29))*(D31-$D$29)</f>
        <v>0.35527538326117802</v>
      </c>
      <c r="AX31" s="11">
        <f t="shared" ref="AX31:AX32" si="69">$AX$29+(($AX$33-$AX$29)/($D$33-$D$29))*(D31-$D$29)</f>
        <v>5.1269249470094706E-6</v>
      </c>
      <c r="AY31" s="11">
        <f t="shared" ref="AY31:AY32" si="70">$AY$29+(($AY$33-$AY$29)/($D$33-$D$29))*(D31-$D$29)</f>
        <v>0.22261608480718487</v>
      </c>
      <c r="AZ31" s="11">
        <f t="shared" si="48"/>
        <v>0.7778119448550751</v>
      </c>
      <c r="BA31" s="11">
        <f t="shared" si="49"/>
        <v>0.13941900795507742</v>
      </c>
      <c r="BB31" s="11">
        <f t="shared" si="34"/>
        <v>0.22142394321292738</v>
      </c>
      <c r="BC31" s="11">
        <f t="shared" si="64"/>
        <v>0.72830272430603549</v>
      </c>
      <c r="BD31" s="11">
        <f t="shared" si="36"/>
        <v>0.68354393830163573</v>
      </c>
      <c r="BF31" s="16" t="s">
        <v>130</v>
      </c>
      <c r="BG31" s="14">
        <v>207</v>
      </c>
      <c r="BH31" s="16">
        <v>0.89795666526125284</v>
      </c>
    </row>
    <row r="32" spans="1:94" x14ac:dyDescent="0.25">
      <c r="B32" s="11" t="s">
        <v>115</v>
      </c>
      <c r="C32" s="12" t="s">
        <v>117</v>
      </c>
      <c r="D32" s="14">
        <f t="shared" si="37"/>
        <v>581.00000000000011</v>
      </c>
      <c r="E32" s="10">
        <f t="shared" si="50"/>
        <v>0.40347222222222229</v>
      </c>
      <c r="F32" s="10">
        <v>0.82430555555555562</v>
      </c>
      <c r="G32" s="13">
        <v>9.9823000000000004</v>
      </c>
      <c r="H32" s="13">
        <v>18.959399999999999</v>
      </c>
      <c r="I32" s="13">
        <v>14.9278</v>
      </c>
      <c r="J32" s="13">
        <f t="shared" si="1"/>
        <v>4.0315999999999992</v>
      </c>
      <c r="K32" s="13">
        <f t="shared" si="2"/>
        <v>4.9454999999999991</v>
      </c>
      <c r="L32" s="17">
        <v>121528</v>
      </c>
      <c r="M32" s="17">
        <v>5407</v>
      </c>
      <c r="N32" s="17">
        <v>1735370</v>
      </c>
      <c r="O32" s="17">
        <v>163345</v>
      </c>
      <c r="P32" s="17">
        <v>1512089</v>
      </c>
      <c r="Q32" s="12">
        <f t="shared" si="3"/>
        <v>16.568844159680555</v>
      </c>
      <c r="R32" s="12">
        <f t="shared" si="4"/>
        <v>1019.4404899102885</v>
      </c>
      <c r="S32" s="12">
        <f t="shared" si="5"/>
        <v>23.043651765519428</v>
      </c>
      <c r="T32" s="12">
        <f t="shared" si="0"/>
        <v>7.5338000000000011E-4</v>
      </c>
      <c r="U32" s="12">
        <f t="shared" si="6"/>
        <v>288.87049879967986</v>
      </c>
      <c r="V32" s="12">
        <f t="shared" si="7"/>
        <v>2.0513885954100496E-2</v>
      </c>
      <c r="W32" s="12">
        <f t="shared" si="8"/>
        <v>0.62161005482334664</v>
      </c>
      <c r="X32" s="12">
        <f t="shared" si="9"/>
        <v>4.1672139852765334E-2</v>
      </c>
      <c r="Y32" s="12">
        <f t="shared" si="10"/>
        <v>4.5491344540000009E-6</v>
      </c>
      <c r="Z32" s="12">
        <f t="shared" si="11"/>
        <v>0.1897879177113897</v>
      </c>
      <c r="AA32" s="12">
        <f t="shared" si="12"/>
        <v>9.4662777337502918E-4</v>
      </c>
      <c r="AB32" s="12">
        <f t="shared" si="13"/>
        <v>1.5087719250672269E-3</v>
      </c>
      <c r="AC32" s="12">
        <f t="shared" si="14"/>
        <v>2.4846702297912495E-2</v>
      </c>
      <c r="AD32" s="12">
        <f t="shared" si="15"/>
        <v>2.6409283872000007E-8</v>
      </c>
      <c r="AE32" s="12">
        <f t="shared" si="16"/>
        <v>6.9502242011202971E-3</v>
      </c>
      <c r="AF32" s="12">
        <f t="shared" si="17"/>
        <v>8.7385330265777743E-5</v>
      </c>
      <c r="AG32" s="12">
        <f t="shared" si="18"/>
        <v>2.5135447285812235E-3</v>
      </c>
      <c r="AH32" s="12">
        <f t="shared" si="19"/>
        <v>2.9088476524473492E-4</v>
      </c>
      <c r="AI32" s="12">
        <f t="shared" si="20"/>
        <v>1.8470897578135374E-8</v>
      </c>
      <c r="AJ32" s="12">
        <f t="shared" si="21"/>
        <v>7.9952130283187902E-4</v>
      </c>
      <c r="AK32" s="12">
        <f t="shared" si="22"/>
        <v>1.7669665406081843E-2</v>
      </c>
      <c r="AL32" s="12">
        <f t="shared" si="23"/>
        <v>0.50824885827140309</v>
      </c>
      <c r="AM32" s="12">
        <f t="shared" si="24"/>
        <v>5.8818070012078651E-2</v>
      </c>
      <c r="AN32" s="12">
        <f t="shared" si="25"/>
        <v>3.7348898146062839E-6</v>
      </c>
      <c r="AO32" s="12">
        <f t="shared" si="26"/>
        <v>0.16166642459445538</v>
      </c>
      <c r="AP32" s="12">
        <f t="shared" si="46"/>
        <v>1.7669665406081843E-2</v>
      </c>
      <c r="AQ32" s="12">
        <f t="shared" si="29"/>
        <v>0.50824885827140309</v>
      </c>
      <c r="AR32" s="12">
        <f t="shared" si="47"/>
        <v>5.8766312755794248E-2</v>
      </c>
      <c r="AS32" s="12">
        <f t="shared" si="31"/>
        <v>3.7348898146062839E-6</v>
      </c>
      <c r="AT32" s="12">
        <f t="shared" si="52"/>
        <v>0.15779030730683768</v>
      </c>
      <c r="AU32" s="11">
        <f t="shared" si="66"/>
        <v>2.3073140138345723E-2</v>
      </c>
      <c r="AV32" s="11">
        <f t="shared" si="67"/>
        <v>2.7251703627595392</v>
      </c>
      <c r="AW32" s="11">
        <f t="shared" si="68"/>
        <v>0.34934393230027228</v>
      </c>
      <c r="AX32" s="11">
        <f t="shared" si="69"/>
        <v>5.0844107225952182E-6</v>
      </c>
      <c r="AY32" s="11">
        <f t="shared" si="70"/>
        <v>0.21930000727411428</v>
      </c>
      <c r="AZ32" s="11">
        <f t="shared" si="48"/>
        <v>0.76581103829540154</v>
      </c>
      <c r="BA32" s="11">
        <f t="shared" si="49"/>
        <v>0.18650168268993811</v>
      </c>
      <c r="BB32" s="11">
        <f t="shared" si="34"/>
        <v>0.16821907387612137</v>
      </c>
      <c r="BC32" s="11">
        <f t="shared" si="64"/>
        <v>0.73457673236514165</v>
      </c>
      <c r="BD32" s="11">
        <f t="shared" si="36"/>
        <v>0.71951802130862463</v>
      </c>
      <c r="BF32" s="18" t="s">
        <v>117</v>
      </c>
      <c r="BG32" s="14">
        <v>216.99999999999994</v>
      </c>
      <c r="BH32" s="16">
        <v>0.85594115478014587</v>
      </c>
    </row>
    <row r="33" spans="2:60" s="4" customFormat="1" x14ac:dyDescent="0.25">
      <c r="B33" s="4" t="s">
        <v>116</v>
      </c>
      <c r="C33" s="5" t="s">
        <v>46</v>
      </c>
      <c r="D33" s="6">
        <f t="shared" si="37"/>
        <v>594.99999999999989</v>
      </c>
      <c r="E33" s="7">
        <f t="shared" si="50"/>
        <v>0.41319444444444436</v>
      </c>
      <c r="F33" s="7">
        <v>0.8340277777777777</v>
      </c>
      <c r="G33" s="8">
        <v>9.9587000000000003</v>
      </c>
      <c r="H33" s="8">
        <v>19.060600000000001</v>
      </c>
      <c r="I33" s="8">
        <v>14.854699999999999</v>
      </c>
      <c r="J33" s="8">
        <f t="shared" si="1"/>
        <v>4.2059000000000015</v>
      </c>
      <c r="K33" s="8">
        <f t="shared" si="2"/>
        <v>4.895999999999999</v>
      </c>
      <c r="L33" s="19">
        <v>159876</v>
      </c>
      <c r="M33" s="19">
        <v>23562</v>
      </c>
      <c r="N33" s="19">
        <v>9315913</v>
      </c>
      <c r="O33" s="19">
        <v>217942</v>
      </c>
      <c r="P33" s="19">
        <v>1979818</v>
      </c>
      <c r="Q33" s="5">
        <f t="shared" si="3"/>
        <v>20.475089384848886</v>
      </c>
      <c r="R33" s="5">
        <f t="shared" si="4"/>
        <v>5121.9872099066733</v>
      </c>
      <c r="S33" s="5">
        <f t="shared" si="5"/>
        <v>132.25292092259374</v>
      </c>
      <c r="T33" s="5">
        <f t="shared" si="0"/>
        <v>9.7176800000000013E-4</v>
      </c>
      <c r="U33" s="5">
        <f t="shared" si="6"/>
        <v>377.98550089547683</v>
      </c>
      <c r="V33" s="5">
        <f t="shared" si="7"/>
        <v>2.5350208167381406E-2</v>
      </c>
      <c r="W33" s="5">
        <f t="shared" si="8"/>
        <v>3.1231629328699224</v>
      </c>
      <c r="X33" s="5">
        <f t="shared" si="9"/>
        <v>0.23916618219641853</v>
      </c>
      <c r="Y33" s="5">
        <f t="shared" si="10"/>
        <v>5.8678267144000004E-6</v>
      </c>
      <c r="Z33" s="5">
        <f t="shared" si="11"/>
        <v>0.24833647408832832</v>
      </c>
      <c r="AA33" s="5">
        <f t="shared" si="12"/>
        <v>1.1698032818245716E-3</v>
      </c>
      <c r="AB33" s="5">
        <f t="shared" si="13"/>
        <v>7.5805410706618762E-3</v>
      </c>
      <c r="AC33" s="5">
        <f t="shared" si="14"/>
        <v>0.14260105072018209</v>
      </c>
      <c r="AD33" s="5">
        <f t="shared" si="15"/>
        <v>3.4064744179200003E-8</v>
      </c>
      <c r="AE33" s="5">
        <f t="shared" si="16"/>
        <v>9.0943311515451729E-3</v>
      </c>
      <c r="AF33" s="5">
        <f t="shared" si="17"/>
        <v>1.123477973990026E-4</v>
      </c>
      <c r="AG33" s="5">
        <f t="shared" si="18"/>
        <v>1.3172825308439572E-2</v>
      </c>
      <c r="AH33" s="5">
        <f t="shared" si="19"/>
        <v>1.7040837900259285E-3</v>
      </c>
      <c r="AI33" s="5">
        <f t="shared" si="20"/>
        <v>2.4846273365596335E-8</v>
      </c>
      <c r="AJ33" s="5">
        <f t="shared" si="21"/>
        <v>1.0890042216860655E-3</v>
      </c>
      <c r="AK33" s="5">
        <f t="shared" si="22"/>
        <v>2.2946854043913934E-2</v>
      </c>
      <c r="AL33" s="5">
        <f t="shared" si="23"/>
        <v>2.6905280450244229</v>
      </c>
      <c r="AM33" s="5">
        <f t="shared" si="24"/>
        <v>0.34805632966215866</v>
      </c>
      <c r="AN33" s="5">
        <f t="shared" si="25"/>
        <v>5.0748107364371614E-6</v>
      </c>
      <c r="AO33" s="5">
        <f t="shared" si="26"/>
        <v>0.22242733286071603</v>
      </c>
      <c r="AP33" s="5">
        <f t="shared" si="46"/>
        <v>2.2946854043913934E-2</v>
      </c>
      <c r="AQ33" s="5">
        <f t="shared" si="29"/>
        <v>2.6905280450244229</v>
      </c>
      <c r="AR33" s="5">
        <f t="shared" si="47"/>
        <v>0.34800457240587424</v>
      </c>
      <c r="AS33" s="5">
        <f t="shared" si="31"/>
        <v>5.0748107364371614E-6</v>
      </c>
      <c r="AT33" s="5">
        <f t="shared" si="52"/>
        <v>0.21855121557309834</v>
      </c>
      <c r="AU33" s="4">
        <f>AP33</f>
        <v>2.2946854043913934E-2</v>
      </c>
      <c r="AV33" s="4">
        <f t="shared" ref="AV33:AY33" si="71">AQ33</f>
        <v>2.6905280450244229</v>
      </c>
      <c r="AW33" s="4">
        <f t="shared" si="71"/>
        <v>0.34800457240587424</v>
      </c>
      <c r="AX33" s="4">
        <f t="shared" si="71"/>
        <v>5.0748107364371614E-6</v>
      </c>
      <c r="AY33" s="4">
        <f t="shared" si="71"/>
        <v>0.21855121557309834</v>
      </c>
      <c r="AZ33" s="4">
        <f t="shared" si="48"/>
        <v>1</v>
      </c>
      <c r="BA33" s="4">
        <f t="shared" si="49"/>
        <v>1</v>
      </c>
      <c r="BB33" s="4">
        <f t="shared" si="34"/>
        <v>1</v>
      </c>
      <c r="BC33" s="4">
        <f t="shared" si="64"/>
        <v>1</v>
      </c>
      <c r="BD33" s="4">
        <f t="shared" si="36"/>
        <v>1</v>
      </c>
      <c r="BF33" s="16" t="s">
        <v>131</v>
      </c>
      <c r="BG33" s="14">
        <v>228</v>
      </c>
      <c r="BH33" s="16">
        <v>0.92290741456234093</v>
      </c>
    </row>
    <row r="34" spans="2:60" x14ac:dyDescent="0.25">
      <c r="B34" s="11" t="s">
        <v>0</v>
      </c>
      <c r="C34" s="12" t="s">
        <v>117</v>
      </c>
      <c r="D34" s="14">
        <f t="shared" si="37"/>
        <v>645</v>
      </c>
      <c r="E34" s="10">
        <f t="shared" si="50"/>
        <v>0.44791666666666669</v>
      </c>
      <c r="F34" s="10">
        <v>0.86875000000000002</v>
      </c>
      <c r="G34" s="13">
        <v>9.9309999999999992</v>
      </c>
      <c r="H34" s="13">
        <v>18.855399999999999</v>
      </c>
      <c r="I34" s="13">
        <v>14.725899999999999</v>
      </c>
      <c r="J34" s="13">
        <f t="shared" si="1"/>
        <v>4.1295000000000002</v>
      </c>
      <c r="K34" s="13">
        <f t="shared" si="2"/>
        <v>4.7949000000000002</v>
      </c>
      <c r="L34" s="17">
        <v>121503</v>
      </c>
      <c r="M34" s="17">
        <v>5462</v>
      </c>
      <c r="N34" s="17">
        <v>1266784</v>
      </c>
      <c r="O34" s="17">
        <v>155565</v>
      </c>
      <c r="P34" s="17">
        <v>1493064</v>
      </c>
      <c r="Q34" s="12">
        <f t="shared" si="3"/>
        <v>16.566297582789215</v>
      </c>
      <c r="R34" s="12">
        <f t="shared" si="4"/>
        <v>1031.8690258287575</v>
      </c>
      <c r="S34" s="12">
        <f t="shared" si="5"/>
        <v>16.292956650771469</v>
      </c>
      <c r="T34" s="12">
        <f t="shared" si="0"/>
        <v>7.2226000000000007E-4</v>
      </c>
      <c r="U34" s="12">
        <f t="shared" si="6"/>
        <v>285.24572266890215</v>
      </c>
      <c r="V34" s="12">
        <f t="shared" si="7"/>
        <v>2.0510733037251323E-2</v>
      </c>
      <c r="W34" s="12">
        <f t="shared" si="8"/>
        <v>0.62918843038338867</v>
      </c>
      <c r="X34" s="12">
        <f t="shared" si="9"/>
        <v>2.9464182807255126E-2</v>
      </c>
      <c r="Y34" s="12">
        <f t="shared" si="10"/>
        <v>4.3612225580000006E-6</v>
      </c>
      <c r="Z34" s="12">
        <f t="shared" si="11"/>
        <v>0.18740643979346872</v>
      </c>
      <c r="AA34" s="12">
        <f t="shared" si="12"/>
        <v>9.4648227979749616E-4</v>
      </c>
      <c r="AB34" s="12">
        <f t="shared" si="13"/>
        <v>1.5271661582265609E-3</v>
      </c>
      <c r="AC34" s="12">
        <f t="shared" si="14"/>
        <v>1.7567799043911085E-2</v>
      </c>
      <c r="AD34" s="12">
        <f t="shared" si="15"/>
        <v>2.5318390944000003E-8</v>
      </c>
      <c r="AE34" s="12">
        <f t="shared" si="16"/>
        <v>6.8630120874137853E-3</v>
      </c>
      <c r="AF34" s="12">
        <f t="shared" si="17"/>
        <v>8.9237359960730344E-5</v>
      </c>
      <c r="AG34" s="12">
        <f t="shared" si="18"/>
        <v>2.6055562322802842E-3</v>
      </c>
      <c r="AH34" s="12">
        <f t="shared" si="19"/>
        <v>2.059081825382093E-4</v>
      </c>
      <c r="AI34" s="12">
        <f t="shared" si="20"/>
        <v>1.8131067705998388E-8</v>
      </c>
      <c r="AJ34" s="12">
        <f t="shared" si="21"/>
        <v>8.0680234978506953E-4</v>
      </c>
      <c r="AK34" s="12">
        <f t="shared" si="22"/>
        <v>1.861089072988599E-2</v>
      </c>
      <c r="AL34" s="12">
        <f t="shared" si="23"/>
        <v>0.54340157923633114</v>
      </c>
      <c r="AM34" s="12">
        <f t="shared" si="24"/>
        <v>4.2943165141756723E-2</v>
      </c>
      <c r="AN34" s="12">
        <f t="shared" si="25"/>
        <v>3.7813234282254869E-6</v>
      </c>
      <c r="AO34" s="12">
        <f t="shared" si="26"/>
        <v>0.16826260188639378</v>
      </c>
      <c r="AP34" s="12">
        <f t="shared" si="46"/>
        <v>1.861089072988599E-2</v>
      </c>
      <c r="AQ34" s="12">
        <f t="shared" si="29"/>
        <v>0.54340157923633114</v>
      </c>
      <c r="AR34" s="12">
        <f t="shared" si="47"/>
        <v>4.289140788547232E-2</v>
      </c>
      <c r="AS34" s="12">
        <f t="shared" si="31"/>
        <v>3.7813234282254869E-6</v>
      </c>
      <c r="AT34" s="12">
        <f t="shared" si="52"/>
        <v>0.16438648459877608</v>
      </c>
      <c r="AU34" s="11">
        <f>$AU$33+(($AU$36-$AU$33)/($D$36-$D$33))*(D34-$D$33)</f>
        <v>2.2392516999447172E-2</v>
      </c>
      <c r="AV34" s="11">
        <f>$AV$33+(($AV$36-$AV$33)/($D$36-$D$33))*(D34-$D$33)</f>
        <v>2.4989281425251995</v>
      </c>
      <c r="AW34" s="11">
        <f>$AW$33+(($AW$36-$AW$33)/($D$36-$D$33))*(D34-$D$33)</f>
        <v>0.34361882295470164</v>
      </c>
      <c r="AX34" s="11">
        <f>$AX$33+(($AX$36-$AX$33)/($D$36-$D$33))*(D34-$D$33)</f>
        <v>4.9904667900628117E-6</v>
      </c>
      <c r="AY34" s="11">
        <f>$AY$33+(($AY$36-$AY$33)/($D$36-$D$33))*(D34-$D$33)</f>
        <v>0.21609652680965979</v>
      </c>
      <c r="AZ34" s="11">
        <f t="shared" si="48"/>
        <v>0.83112098252936273</v>
      </c>
      <c r="BA34" s="11">
        <f t="shared" si="49"/>
        <v>0.21745386351414522</v>
      </c>
      <c r="BB34" s="11">
        <f t="shared" si="34"/>
        <v>0.12482263781901895</v>
      </c>
      <c r="BC34" s="11">
        <f t="shared" si="64"/>
        <v>0.75770936613684869</v>
      </c>
      <c r="BD34" s="11">
        <f t="shared" si="36"/>
        <v>0.76070859178393702</v>
      </c>
      <c r="BF34" s="18" t="s">
        <v>117</v>
      </c>
      <c r="BG34" s="14">
        <v>251.99999999999997</v>
      </c>
      <c r="BH34" s="16">
        <v>0.93233299201852216</v>
      </c>
    </row>
    <row r="35" spans="2:60" x14ac:dyDescent="0.25">
      <c r="B35" s="11" t="s">
        <v>2</v>
      </c>
      <c r="C35" s="12" t="s">
        <v>117</v>
      </c>
      <c r="D35" s="14">
        <f t="shared" si="37"/>
        <v>722</v>
      </c>
      <c r="E35" s="10">
        <f t="shared" si="50"/>
        <v>0.50138888888888888</v>
      </c>
      <c r="F35" s="10">
        <v>0.92222222222222217</v>
      </c>
      <c r="G35" s="13">
        <v>9.9605999999999995</v>
      </c>
      <c r="H35" s="13">
        <v>18.959</v>
      </c>
      <c r="I35" s="13">
        <v>15.104699999999999</v>
      </c>
      <c r="J35" s="13">
        <f t="shared" si="1"/>
        <v>3.8543000000000003</v>
      </c>
      <c r="K35" s="13">
        <f t="shared" si="2"/>
        <v>5.1440999999999999</v>
      </c>
      <c r="L35" s="17">
        <v>134708</v>
      </c>
      <c r="M35" s="17">
        <v>6653</v>
      </c>
      <c r="N35" s="17">
        <v>1278299</v>
      </c>
      <c r="O35" s="17">
        <v>169125</v>
      </c>
      <c r="P35" s="17">
        <v>1660180</v>
      </c>
      <c r="Q35" s="12">
        <f t="shared" si="3"/>
        <v>17.911399496796406</v>
      </c>
      <c r="R35" s="12">
        <f t="shared" si="4"/>
        <v>1301.003321808691</v>
      </c>
      <c r="S35" s="12">
        <f t="shared" si="5"/>
        <v>16.458847766268565</v>
      </c>
      <c r="T35" s="12">
        <f t="shared" si="0"/>
        <v>7.7650000000000006E-4</v>
      </c>
      <c r="U35" s="12">
        <f t="shared" si="6"/>
        <v>317.08583241245282</v>
      </c>
      <c r="V35" s="12">
        <f t="shared" si="7"/>
        <v>2.2176103716983631E-2</v>
      </c>
      <c r="W35" s="12">
        <f t="shared" si="8"/>
        <v>0.79329470841993344</v>
      </c>
      <c r="X35" s="12">
        <f t="shared" si="9"/>
        <v>2.9764180300520072E-2</v>
      </c>
      <c r="Y35" s="12">
        <f t="shared" si="10"/>
        <v>4.68873995E-6</v>
      </c>
      <c r="Z35" s="12">
        <f t="shared" si="11"/>
        <v>0.2083253918949815</v>
      </c>
      <c r="AA35" s="12">
        <f t="shared" si="12"/>
        <v>1.0233319874504692E-3</v>
      </c>
      <c r="AB35" s="12">
        <f t="shared" si="13"/>
        <v>1.9254849162768629E-3</v>
      </c>
      <c r="AC35" s="12">
        <f t="shared" si="14"/>
        <v>1.7746670309740253E-2</v>
      </c>
      <c r="AD35" s="12">
        <f t="shared" si="15"/>
        <v>2.7219741600000002E-8</v>
      </c>
      <c r="AE35" s="12">
        <f t="shared" si="16"/>
        <v>7.629085127843614E-3</v>
      </c>
      <c r="AF35" s="12">
        <f t="shared" si="17"/>
        <v>9.0737478633013969E-5</v>
      </c>
      <c r="AG35" s="12">
        <f t="shared" si="18"/>
        <v>3.0675006816207697E-3</v>
      </c>
      <c r="AH35" s="12">
        <f t="shared" si="19"/>
        <v>2.0601072687262938E-4</v>
      </c>
      <c r="AI35" s="12">
        <f t="shared" si="20"/>
        <v>1.8211831462049561E-8</v>
      </c>
      <c r="AJ35" s="12">
        <f t="shared" si="21"/>
        <v>8.4219333478696766E-4</v>
      </c>
      <c r="AK35" s="12">
        <f t="shared" si="22"/>
        <v>1.7639135831926667E-2</v>
      </c>
      <c r="AL35" s="12">
        <f t="shared" si="23"/>
        <v>0.59631435656786802</v>
      </c>
      <c r="AM35" s="12">
        <f t="shared" si="24"/>
        <v>4.0047963078600604E-2</v>
      </c>
      <c r="AN35" s="12">
        <f t="shared" si="25"/>
        <v>3.5403338702687661E-6</v>
      </c>
      <c r="AO35" s="12">
        <f t="shared" si="26"/>
        <v>0.16372024937053473</v>
      </c>
      <c r="AP35" s="12">
        <f t="shared" si="46"/>
        <v>1.7639135831926667E-2</v>
      </c>
      <c r="AQ35" s="12">
        <f t="shared" si="29"/>
        <v>0.59631435656786802</v>
      </c>
      <c r="AR35" s="12">
        <f t="shared" si="47"/>
        <v>3.9996205822316201E-2</v>
      </c>
      <c r="AS35" s="12">
        <f t="shared" si="31"/>
        <v>3.5403338702687661E-6</v>
      </c>
      <c r="AT35" s="12">
        <f t="shared" si="52"/>
        <v>0.15984413208291703</v>
      </c>
      <c r="AU35" s="11">
        <f>$AU$33+(($AU$36-$AU$33)/($D$36-$D$33))*(D35-$D$33)</f>
        <v>2.1538837950968365E-2</v>
      </c>
      <c r="AV35" s="11">
        <f>$AV$33+(($AV$36-$AV$33)/($D$36-$D$33))*(D35-$D$33)</f>
        <v>2.2038642926763963</v>
      </c>
      <c r="AW35" s="11">
        <f>$AW$33+(($AW$36-$AW$33)/($D$36-$D$33))*(D35-$D$33)</f>
        <v>0.33686476879989591</v>
      </c>
      <c r="AX35" s="11">
        <f>$AX$33+(($AX$36-$AX$33)/($D$36-$D$33))*(D35-$D$33)</f>
        <v>4.8605771126463146E-6</v>
      </c>
      <c r="AY35" s="11">
        <f>$AY$33+(($AY$36-$AY$33)/($D$36-$D$33))*(D35-$D$33)</f>
        <v>0.21231630611396446</v>
      </c>
      <c r="AZ35" s="11">
        <f t="shared" si="48"/>
        <v>0.81894556577661748</v>
      </c>
      <c r="BA35" s="11">
        <f t="shared" si="49"/>
        <v>0.27057671316217818</v>
      </c>
      <c r="BB35" s="11">
        <f t="shared" si="34"/>
        <v>0.11873074754835733</v>
      </c>
      <c r="BC35" s="11">
        <f t="shared" si="64"/>
        <v>0.72837726636564992</v>
      </c>
      <c r="BD35" s="11">
        <f t="shared" si="36"/>
        <v>0.7528584827446928</v>
      </c>
      <c r="BF35" s="16" t="s">
        <v>132</v>
      </c>
      <c r="BG35" s="14">
        <v>267</v>
      </c>
      <c r="BH35" s="16">
        <v>0.95795363896923913</v>
      </c>
    </row>
    <row r="36" spans="2:60" s="5" customFormat="1" x14ac:dyDescent="0.25">
      <c r="B36" s="15" t="s">
        <v>3</v>
      </c>
      <c r="C36" s="5" t="s">
        <v>47</v>
      </c>
      <c r="D36" s="6">
        <f t="shared" si="37"/>
        <v>729.00000000000011</v>
      </c>
      <c r="E36" s="7">
        <f t="shared" si="50"/>
        <v>0.50625000000000009</v>
      </c>
      <c r="F36" s="7">
        <v>0.92708333333333337</v>
      </c>
      <c r="G36" s="5">
        <v>9.9242000000000008</v>
      </c>
      <c r="H36" s="5">
        <v>18.7515</v>
      </c>
      <c r="I36" s="5">
        <v>14.9213</v>
      </c>
      <c r="J36" s="5">
        <f t="shared" si="1"/>
        <v>3.8301999999999996</v>
      </c>
      <c r="K36" s="5">
        <f t="shared" si="2"/>
        <v>4.9970999999999997</v>
      </c>
      <c r="L36" s="19">
        <v>168276</v>
      </c>
      <c r="M36" s="19">
        <v>21444</v>
      </c>
      <c r="N36" s="19">
        <v>9608405</v>
      </c>
      <c r="O36" s="19">
        <v>234942</v>
      </c>
      <c r="P36" s="19">
        <v>2143037</v>
      </c>
      <c r="Q36" s="5">
        <f t="shared" si="3"/>
        <v>21.330739220340018</v>
      </c>
      <c r="R36" s="5">
        <f t="shared" si="4"/>
        <v>4643.3755903554566</v>
      </c>
      <c r="S36" s="5">
        <f t="shared" si="5"/>
        <v>136.46671372797601</v>
      </c>
      <c r="T36" s="5">
        <f t="shared" si="0"/>
        <v>1.0397679999999999E-3</v>
      </c>
      <c r="U36" s="5">
        <f t="shared" si="6"/>
        <v>409.08312692908584</v>
      </c>
      <c r="V36" s="5">
        <f t="shared" si="7"/>
        <v>2.6409588228702978E-2</v>
      </c>
      <c r="W36" s="5">
        <f t="shared" si="8"/>
        <v>2.8313265794850344</v>
      </c>
      <c r="X36" s="5">
        <f t="shared" si="9"/>
        <v>0.24678640510567179</v>
      </c>
      <c r="Y36" s="5">
        <f t="shared" si="10"/>
        <v>6.2784311143999993E-6</v>
      </c>
      <c r="Z36" s="5">
        <f t="shared" si="11"/>
        <v>0.26876761439240943</v>
      </c>
      <c r="AA36" s="5">
        <f t="shared" si="12"/>
        <v>1.2186891238756862E-3</v>
      </c>
      <c r="AB36" s="5">
        <f t="shared" si="13"/>
        <v>6.8721958737260752E-3</v>
      </c>
      <c r="AC36" s="5">
        <f t="shared" si="14"/>
        <v>0.14714455174362148</v>
      </c>
      <c r="AD36" s="5">
        <f t="shared" si="15"/>
        <v>3.6448443379200003E-8</v>
      </c>
      <c r="AE36" s="5">
        <f t="shared" si="16"/>
        <v>9.8425400339138044E-3</v>
      </c>
      <c r="AF36" s="5">
        <f t="shared" si="17"/>
        <v>1.0724391625449733E-4</v>
      </c>
      <c r="AG36" s="5">
        <f t="shared" si="18"/>
        <v>1.0878888114744174E-2</v>
      </c>
      <c r="AH36" s="5">
        <f t="shared" si="19"/>
        <v>1.6805373283537949E-3</v>
      </c>
      <c r="AI36" s="5">
        <f t="shared" si="20"/>
        <v>2.4229783370785076E-8</v>
      </c>
      <c r="AJ36" s="5">
        <f t="shared" si="21"/>
        <v>1.0786178734492771E-3</v>
      </c>
      <c r="AK36" s="5">
        <f t="shared" si="22"/>
        <v>2.1461230764743017E-2</v>
      </c>
      <c r="AL36" s="5">
        <f t="shared" si="23"/>
        <v>2.1770403063265045</v>
      </c>
      <c r="AM36" s="5">
        <f t="shared" si="24"/>
        <v>0.33630252113301617</v>
      </c>
      <c r="AN36" s="5">
        <f t="shared" si="25"/>
        <v>4.8487689601539052E-6</v>
      </c>
      <c r="AO36" s="5">
        <f t="shared" si="26"/>
        <v>0.21584876697470076</v>
      </c>
      <c r="AP36" s="5">
        <f t="shared" si="46"/>
        <v>2.1461230764743017E-2</v>
      </c>
      <c r="AQ36" s="5">
        <f t="shared" si="29"/>
        <v>2.1770403063265045</v>
      </c>
      <c r="AR36" s="5">
        <f t="shared" si="47"/>
        <v>0.33625076387673175</v>
      </c>
      <c r="AS36" s="5">
        <f t="shared" si="31"/>
        <v>4.8487689601539052E-6</v>
      </c>
      <c r="AT36" s="5">
        <f t="shared" si="52"/>
        <v>0.21197264968708307</v>
      </c>
      <c r="AU36" s="4">
        <f>AP36</f>
        <v>2.1461230764743017E-2</v>
      </c>
      <c r="AV36" s="4">
        <f t="shared" ref="AV36:AY36" si="72">AQ36</f>
        <v>2.1770403063265045</v>
      </c>
      <c r="AW36" s="4">
        <f t="shared" si="72"/>
        <v>0.33625076387673175</v>
      </c>
      <c r="AX36" s="4">
        <f t="shared" si="72"/>
        <v>4.8487689601539052E-6</v>
      </c>
      <c r="AY36" s="4">
        <f t="shared" si="72"/>
        <v>0.21197264968708307</v>
      </c>
      <c r="AZ36" s="4">
        <f t="shared" si="48"/>
        <v>1</v>
      </c>
      <c r="BA36" s="4">
        <f t="shared" si="49"/>
        <v>1</v>
      </c>
      <c r="BB36" s="4">
        <f t="shared" si="34"/>
        <v>1</v>
      </c>
      <c r="BC36" s="4">
        <f t="shared" si="64"/>
        <v>1</v>
      </c>
      <c r="BD36" s="4">
        <f t="shared" si="36"/>
        <v>1</v>
      </c>
      <c r="BE36" s="4"/>
      <c r="BF36" s="18" t="s">
        <v>117</v>
      </c>
      <c r="BG36" s="14">
        <v>287</v>
      </c>
      <c r="BH36" s="16">
        <v>0.96424127480347466</v>
      </c>
    </row>
    <row r="37" spans="2:60" x14ac:dyDescent="0.25">
      <c r="BF37" s="5" t="s">
        <v>44</v>
      </c>
      <c r="BG37" s="6">
        <v>297</v>
      </c>
      <c r="BH37" s="4">
        <v>0.99904069481314128</v>
      </c>
    </row>
    <row r="38" spans="2:60" x14ac:dyDescent="0.25">
      <c r="BF38" s="18" t="s">
        <v>117</v>
      </c>
      <c r="BG38" s="14">
        <v>314.00000000000006</v>
      </c>
      <c r="BH38" s="16">
        <v>0.95267672590461894</v>
      </c>
    </row>
    <row r="39" spans="2:60" x14ac:dyDescent="0.25">
      <c r="BF39" s="18" t="s">
        <v>117</v>
      </c>
      <c r="BG39" s="14">
        <v>353.99999999999994</v>
      </c>
      <c r="BH39" s="16">
        <v>0.98459676127991602</v>
      </c>
    </row>
    <row r="40" spans="2:60" x14ac:dyDescent="0.25">
      <c r="BF40" s="18" t="s">
        <v>117</v>
      </c>
      <c r="BG40" s="14">
        <v>399.99999999999994</v>
      </c>
      <c r="BH40" s="16">
        <v>0.9851726382067898</v>
      </c>
    </row>
    <row r="41" spans="2:60" x14ac:dyDescent="0.25">
      <c r="BF41" s="5" t="s">
        <v>45</v>
      </c>
      <c r="BG41" s="6">
        <v>447.99999999999994</v>
      </c>
      <c r="BH41" s="4">
        <v>0.98822831169632486</v>
      </c>
    </row>
    <row r="42" spans="2:60" x14ac:dyDescent="0.25">
      <c r="BF42" s="18" t="s">
        <v>117</v>
      </c>
      <c r="BG42" s="14">
        <v>459.00000000000006</v>
      </c>
      <c r="BH42" s="16">
        <v>0.98843985832252335</v>
      </c>
    </row>
    <row r="43" spans="2:60" x14ac:dyDescent="0.25">
      <c r="BF43" s="18" t="s">
        <v>117</v>
      </c>
      <c r="BG43" s="14">
        <v>519</v>
      </c>
      <c r="BH43" s="16">
        <v>0.98250480019861874</v>
      </c>
    </row>
    <row r="44" spans="2:60" x14ac:dyDescent="0.25">
      <c r="BF44" s="18" t="s">
        <v>117</v>
      </c>
      <c r="BG44" s="14">
        <v>581.00000000000011</v>
      </c>
      <c r="BH44" s="16">
        <v>0.98478480272542579</v>
      </c>
    </row>
    <row r="45" spans="2:60" x14ac:dyDescent="0.25">
      <c r="BF45" s="5" t="s">
        <v>46</v>
      </c>
      <c r="BG45" s="6">
        <v>594.99999999999989</v>
      </c>
      <c r="BH45" s="4">
        <v>0.98732336223980877</v>
      </c>
    </row>
    <row r="46" spans="2:60" x14ac:dyDescent="0.25">
      <c r="BF46" s="18" t="s">
        <v>117</v>
      </c>
      <c r="BG46" s="14">
        <v>645</v>
      </c>
      <c r="BH46" s="16">
        <v>0.97597035996715154</v>
      </c>
    </row>
    <row r="47" spans="2:60" x14ac:dyDescent="0.25">
      <c r="BF47" s="18" t="s">
        <v>117</v>
      </c>
      <c r="BG47" s="14">
        <v>722</v>
      </c>
      <c r="BH47" s="16">
        <v>0.98088294273109633</v>
      </c>
    </row>
    <row r="48" spans="2:60" x14ac:dyDescent="0.25">
      <c r="BF48" s="5" t="s">
        <v>47</v>
      </c>
      <c r="BG48" s="6">
        <v>729.00000000000011</v>
      </c>
      <c r="BH48" s="4">
        <v>1.0011561610751269</v>
      </c>
    </row>
  </sheetData>
  <autoFilter ref="BG11:BG48" xr:uid="{61CF2488-B0C6-4DD2-AB4D-CE6F6DC2160D}">
    <sortState ref="BF12:BH48">
      <sortCondition ref="BG11:BG48"/>
    </sortState>
  </autoFilter>
  <mergeCells count="10">
    <mergeCell ref="L4:P4"/>
    <mergeCell ref="Q4:U4"/>
    <mergeCell ref="V4:Z4"/>
    <mergeCell ref="AA4:AE4"/>
    <mergeCell ref="AK4:AO4"/>
    <mergeCell ref="BG4:BH4"/>
    <mergeCell ref="AF4:AI4"/>
    <mergeCell ref="AP4:AT4"/>
    <mergeCell ref="AU4:AY4"/>
    <mergeCell ref="AZ4:BD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Autosampler - FID</vt:lpstr>
      <vt:lpstr>Autosampler - TCD</vt:lpstr>
      <vt:lpstr>Autosampler - ECD</vt:lpstr>
      <vt:lpstr>Aqueous 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reid_lab</dc:creator>
  <cp:lastModifiedBy>Phil McGuire</cp:lastModifiedBy>
  <dcterms:created xsi:type="dcterms:W3CDTF">2017-11-13T18:12:49Z</dcterms:created>
  <dcterms:modified xsi:type="dcterms:W3CDTF">2018-10-11T17:44:21Z</dcterms:modified>
</cp:coreProperties>
</file>