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mcgu\OneDrive - Cornell University\Documents\First Publication Tracer Tests\"/>
    </mc:Choice>
  </mc:AlternateContent>
  <xr:revisionPtr revIDLastSave="222" documentId="8_{B7AC989D-5822-48AF-96E5-A209FF96B13C}" xr6:coauthVersionLast="43" xr6:coauthVersionMax="43" xr10:uidLastSave="{A9679D2E-EAA2-4979-BF9E-302005AA7B06}"/>
  <bookViews>
    <workbookView xWindow="-120" yWindow="-120" windowWidth="29040" windowHeight="15840" firstSheet="2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4" l="1"/>
  <c r="K27" i="4"/>
  <c r="E29" i="4"/>
  <c r="E30" i="4"/>
  <c r="E31" i="4"/>
  <c r="E32" i="4"/>
  <c r="E33" i="4"/>
  <c r="E34" i="4"/>
  <c r="E35" i="4"/>
  <c r="E36" i="4"/>
  <c r="E37" i="4"/>
  <c r="E28" i="4"/>
  <c r="E27" i="4"/>
  <c r="D27" i="4" s="1"/>
  <c r="U27" i="4"/>
  <c r="Z27" i="4" s="1"/>
  <c r="T27" i="4"/>
  <c r="Y27" i="4" s="1"/>
  <c r="S27" i="4"/>
  <c r="X27" i="4" s="1"/>
  <c r="R27" i="4"/>
  <c r="AB27" i="4" s="1"/>
  <c r="Q27" i="4"/>
  <c r="AA27" i="4" s="1"/>
  <c r="W27" i="4" l="1"/>
  <c r="AG27" i="4" s="1"/>
  <c r="AL27" i="4" s="1"/>
  <c r="V27" i="4"/>
  <c r="AF27" i="4"/>
  <c r="AK27" i="4" s="1"/>
  <c r="AE27" i="4"/>
  <c r="AJ27" i="4" s="1"/>
  <c r="AO27" i="4" s="1"/>
  <c r="AD27" i="4"/>
  <c r="AI27" i="4" s="1"/>
  <c r="AN27" i="4" s="1"/>
  <c r="AC27" i="4"/>
  <c r="AH27" i="4" s="1"/>
  <c r="AM27" i="4" s="1"/>
  <c r="E12" i="4"/>
  <c r="U35" i="4" l="1"/>
  <c r="Z35" i="4" s="1"/>
  <c r="U36" i="4"/>
  <c r="Z36" i="4" s="1"/>
  <c r="U37" i="4"/>
  <c r="Z37" i="4" s="1"/>
  <c r="T35" i="4"/>
  <c r="AD35" i="4" s="1"/>
  <c r="T36" i="4"/>
  <c r="Y36" i="4" s="1"/>
  <c r="T37" i="4"/>
  <c r="Y37" i="4" s="1"/>
  <c r="S35" i="4"/>
  <c r="X35" i="4" s="1"/>
  <c r="S36" i="4"/>
  <c r="AC36" i="4" s="1"/>
  <c r="S37" i="4"/>
  <c r="X37" i="4" s="1"/>
  <c r="R35" i="4"/>
  <c r="W35" i="4" s="1"/>
  <c r="R36" i="4"/>
  <c r="W36" i="4" s="1"/>
  <c r="R37" i="4"/>
  <c r="AB37" i="4" s="1"/>
  <c r="Q35" i="4"/>
  <c r="V35" i="4" s="1"/>
  <c r="Q36" i="4"/>
  <c r="V36" i="4" s="1"/>
  <c r="Q37" i="4"/>
  <c r="V37" i="4" s="1"/>
  <c r="J37" i="4"/>
  <c r="K37" i="4"/>
  <c r="J36" i="4"/>
  <c r="K36" i="4"/>
  <c r="J35" i="4"/>
  <c r="K35" i="4"/>
  <c r="D37" i="4"/>
  <c r="D36" i="4"/>
  <c r="D35" i="4"/>
  <c r="AA37" i="4" l="1"/>
  <c r="W37" i="4"/>
  <c r="AG37" i="4" s="1"/>
  <c r="AL37" i="4" s="1"/>
  <c r="AB36" i="4"/>
  <c r="AG36" i="4" s="1"/>
  <c r="AL36" i="4" s="1"/>
  <c r="AF37" i="4"/>
  <c r="AK37" i="4" s="1"/>
  <c r="X36" i="4"/>
  <c r="AH36" i="4" s="1"/>
  <c r="AM36" i="4" s="1"/>
  <c r="AC35" i="4"/>
  <c r="AH35" i="4" s="1"/>
  <c r="AM35" i="4" s="1"/>
  <c r="Y35" i="4"/>
  <c r="AI35" i="4" s="1"/>
  <c r="AN35" i="4" s="1"/>
  <c r="AE37" i="4"/>
  <c r="AJ37" i="4" s="1"/>
  <c r="AO37" i="4" s="1"/>
  <c r="AA36" i="4"/>
  <c r="AF36" i="4" s="1"/>
  <c r="AK36" i="4" s="1"/>
  <c r="AB35" i="4"/>
  <c r="AG35" i="4" s="1"/>
  <c r="AL35" i="4" s="1"/>
  <c r="AD37" i="4"/>
  <c r="AI37" i="4" s="1"/>
  <c r="AN37" i="4" s="1"/>
  <c r="AE36" i="4"/>
  <c r="AJ36" i="4" s="1"/>
  <c r="AO36" i="4" s="1"/>
  <c r="AA35" i="4"/>
  <c r="AF35" i="4" s="1"/>
  <c r="AK35" i="4" s="1"/>
  <c r="AC37" i="4"/>
  <c r="AH37" i="4" s="1"/>
  <c r="AM37" i="4" s="1"/>
  <c r="AD36" i="4"/>
  <c r="AI36" i="4" s="1"/>
  <c r="AN36" i="4" s="1"/>
  <c r="AE35" i="4"/>
  <c r="AJ35" i="4" s="1"/>
  <c r="AO35" i="4" s="1"/>
  <c r="T6" i="4"/>
  <c r="T7" i="4"/>
  <c r="T15" i="4"/>
  <c r="T16" i="4"/>
  <c r="T17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8" i="4"/>
  <c r="S29" i="4"/>
  <c r="S30" i="4"/>
  <c r="S31" i="4"/>
  <c r="S32" i="4"/>
  <c r="S33" i="4"/>
  <c r="S34" i="4"/>
  <c r="S6" i="4"/>
  <c r="R7" i="4"/>
  <c r="R8" i="4"/>
  <c r="R15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8" i="4"/>
  <c r="U29" i="4"/>
  <c r="AE29" i="4" s="1"/>
  <c r="U30" i="4"/>
  <c r="AE30" i="4" s="1"/>
  <c r="U31" i="4"/>
  <c r="AE31" i="4" s="1"/>
  <c r="U32" i="4"/>
  <c r="U33" i="4"/>
  <c r="AE33" i="4" s="1"/>
  <c r="U34" i="4"/>
  <c r="Z34" i="4" s="1"/>
  <c r="U6" i="4"/>
  <c r="Z6" i="4" s="1"/>
  <c r="AE6" i="4" l="1"/>
  <c r="AE13" i="4"/>
  <c r="Z25" i="4"/>
  <c r="Z14" i="4"/>
  <c r="AE34" i="4"/>
  <c r="AE21" i="4"/>
  <c r="AE10" i="4"/>
  <c r="Z30" i="4"/>
  <c r="Z17" i="4"/>
  <c r="Z22" i="4"/>
  <c r="AE18" i="4"/>
  <c r="AE9" i="4"/>
  <c r="Z31" i="4"/>
  <c r="AE26" i="4"/>
  <c r="AE32" i="4"/>
  <c r="Z32" i="4"/>
  <c r="AE28" i="4"/>
  <c r="Z28" i="4"/>
  <c r="AE23" i="4"/>
  <c r="Z23" i="4"/>
  <c r="AE19" i="4"/>
  <c r="Z19" i="4"/>
  <c r="AE15" i="4"/>
  <c r="Z15" i="4"/>
  <c r="AE11" i="4"/>
  <c r="Z11" i="4"/>
  <c r="AE7" i="4"/>
  <c r="Z7" i="4"/>
  <c r="Z33" i="4"/>
  <c r="Z29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9" i="4"/>
  <c r="AA31" i="4"/>
  <c r="AA33" i="4"/>
  <c r="AC6" i="4"/>
  <c r="AA6" i="4"/>
  <c r="V9" i="4" l="1"/>
  <c r="AA32" i="4"/>
  <c r="V32" i="4"/>
  <c r="AA28" i="4"/>
  <c r="V28" i="4"/>
  <c r="AB31" i="4"/>
  <c r="W31" i="4"/>
  <c r="AB26" i="4"/>
  <c r="W26" i="4"/>
  <c r="AB22" i="4"/>
  <c r="W22" i="4"/>
  <c r="AB18" i="4"/>
  <c r="W18" i="4"/>
  <c r="AB14" i="4"/>
  <c r="W14" i="4"/>
  <c r="AB10" i="4"/>
  <c r="W10" i="4"/>
  <c r="AC34" i="4"/>
  <c r="X34" i="4"/>
  <c r="AC30" i="4"/>
  <c r="X30" i="4"/>
  <c r="AC25" i="4"/>
  <c r="X25" i="4"/>
  <c r="AC21" i="4"/>
  <c r="X21" i="4"/>
  <c r="AC17" i="4"/>
  <c r="X17" i="4"/>
  <c r="AC13" i="4"/>
  <c r="X13" i="4"/>
  <c r="AC9" i="4"/>
  <c r="X9" i="4"/>
  <c r="AD33" i="4"/>
  <c r="Y33" i="4"/>
  <c r="AD29" i="4"/>
  <c r="Y29" i="4"/>
  <c r="AD24" i="4"/>
  <c r="Y24" i="4"/>
  <c r="AD10" i="4"/>
  <c r="Y10" i="4"/>
  <c r="V26" i="4"/>
  <c r="W28" i="4"/>
  <c r="AB28" i="4"/>
  <c r="AB6" i="4"/>
  <c r="W6" i="4"/>
  <c r="AA8" i="4"/>
  <c r="V8" i="4"/>
  <c r="W32" i="4"/>
  <c r="AB32" i="4"/>
  <c r="W23" i="4"/>
  <c r="AB23" i="4"/>
  <c r="W19" i="4"/>
  <c r="AB19" i="4"/>
  <c r="W15" i="4"/>
  <c r="AB15" i="4"/>
  <c r="W11" i="4"/>
  <c r="AB11" i="4"/>
  <c r="W7" i="4"/>
  <c r="AB7" i="4"/>
  <c r="X31" i="4"/>
  <c r="AC31" i="4"/>
  <c r="X26" i="4"/>
  <c r="AC26" i="4"/>
  <c r="X22" i="4"/>
  <c r="AC22" i="4"/>
  <c r="X14" i="4"/>
  <c r="AC14" i="4"/>
  <c r="X10" i="4"/>
  <c r="AC10" i="4"/>
  <c r="Y34" i="4"/>
  <c r="AD34" i="4"/>
  <c r="Y30" i="4"/>
  <c r="AD30" i="4"/>
  <c r="Y25" i="4"/>
  <c r="AD25" i="4"/>
  <c r="AD20" i="4"/>
  <c r="Y20" i="4"/>
  <c r="V29" i="4"/>
  <c r="X6" i="4"/>
  <c r="AD6" i="4"/>
  <c r="Y6" i="4"/>
  <c r="AA10" i="4"/>
  <c r="V10" i="4"/>
  <c r="AB34" i="4"/>
  <c r="W34" i="4"/>
  <c r="AB30" i="4"/>
  <c r="W30" i="4"/>
  <c r="AB25" i="4"/>
  <c r="W25" i="4"/>
  <c r="AB21" i="4"/>
  <c r="W21" i="4"/>
  <c r="AB17" i="4"/>
  <c r="W17" i="4"/>
  <c r="AB13" i="4"/>
  <c r="W13" i="4"/>
  <c r="AB9" i="4"/>
  <c r="W9" i="4"/>
  <c r="AC33" i="4"/>
  <c r="X33" i="4"/>
  <c r="AC29" i="4"/>
  <c r="X29" i="4"/>
  <c r="AC24" i="4"/>
  <c r="X24" i="4"/>
  <c r="AC20" i="4"/>
  <c r="X20" i="4"/>
  <c r="AC16" i="4"/>
  <c r="X16" i="4"/>
  <c r="AC12" i="4"/>
  <c r="X12" i="4"/>
  <c r="AC8" i="4"/>
  <c r="X8" i="4"/>
  <c r="AD32" i="4"/>
  <c r="Y32" i="4"/>
  <c r="AD28" i="4"/>
  <c r="Y28" i="4"/>
  <c r="AD23" i="4"/>
  <c r="Y23" i="4"/>
  <c r="V33" i="4"/>
  <c r="AA34" i="4"/>
  <c r="V34" i="4"/>
  <c r="AA30" i="4"/>
  <c r="V30" i="4"/>
  <c r="AB33" i="4"/>
  <c r="W33" i="4"/>
  <c r="AB29" i="4"/>
  <c r="W29" i="4"/>
  <c r="AB24" i="4"/>
  <c r="W24" i="4"/>
  <c r="AB20" i="4"/>
  <c r="W20" i="4"/>
  <c r="AB16" i="4"/>
  <c r="W16" i="4"/>
  <c r="AB12" i="4"/>
  <c r="W12" i="4"/>
  <c r="AB8" i="4"/>
  <c r="W8" i="4"/>
  <c r="AC32" i="4"/>
  <c r="X32" i="4"/>
  <c r="AC28" i="4"/>
  <c r="X28" i="4"/>
  <c r="AC23" i="4"/>
  <c r="X23" i="4"/>
  <c r="AC19" i="4"/>
  <c r="X19" i="4"/>
  <c r="AC15" i="4"/>
  <c r="X15" i="4"/>
  <c r="AC11" i="4"/>
  <c r="X11" i="4"/>
  <c r="AC7" i="4"/>
  <c r="X7" i="4"/>
  <c r="AD31" i="4"/>
  <c r="Y31" i="4"/>
  <c r="AD26" i="4"/>
  <c r="Y26" i="4"/>
  <c r="AD22" i="4"/>
  <c r="Y22" i="4"/>
  <c r="AD8" i="4"/>
  <c r="Y8" i="4"/>
  <c r="V31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J7" i="4"/>
  <c r="J8" i="4"/>
  <c r="J9" i="4"/>
  <c r="J10" i="4"/>
  <c r="J11" i="4"/>
  <c r="AJ11" i="4" s="1"/>
  <c r="AO11" i="4" s="1"/>
  <c r="J12" i="4"/>
  <c r="J13" i="4"/>
  <c r="J14" i="4"/>
  <c r="J15" i="4"/>
  <c r="AJ15" i="4" s="1"/>
  <c r="AO15" i="4" s="1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8" i="4"/>
  <c r="J29" i="4"/>
  <c r="J30" i="4"/>
  <c r="J31" i="4"/>
  <c r="J32" i="4"/>
  <c r="J33" i="4"/>
  <c r="J34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D28" i="4"/>
  <c r="D29" i="4"/>
  <c r="D30" i="4"/>
  <c r="D31" i="4"/>
  <c r="D32" i="4"/>
  <c r="D33" i="4"/>
  <c r="D34" i="4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7" i="4" l="1"/>
  <c r="AO7" i="4" s="1"/>
  <c r="AJ33" i="4"/>
  <c r="AO33" i="4" s="1"/>
  <c r="AJ29" i="4"/>
  <c r="AO29" i="4" s="1"/>
  <c r="AJ24" i="4"/>
  <c r="AO24" i="4" s="1"/>
  <c r="AJ20" i="4"/>
  <c r="AO20" i="4" s="1"/>
  <c r="AJ16" i="4"/>
  <c r="AO16" i="4" s="1"/>
  <c r="AH32" i="4"/>
  <c r="AM32" i="4" s="1"/>
  <c r="AJ32" i="4"/>
  <c r="AO32" i="4" s="1"/>
  <c r="AI28" i="4"/>
  <c r="AN28" i="4" s="1"/>
  <c r="AJ28" i="4"/>
  <c r="AO28" i="4" s="1"/>
  <c r="AJ31" i="4"/>
  <c r="AO31" i="4" s="1"/>
  <c r="AJ22" i="4"/>
  <c r="AO22" i="4" s="1"/>
  <c r="AJ14" i="4"/>
  <c r="AO14" i="4" s="1"/>
  <c r="AJ34" i="4"/>
  <c r="AO34" i="4" s="1"/>
  <c r="AJ30" i="4"/>
  <c r="AO30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4" i="4"/>
  <c r="AM34" i="4" s="1"/>
  <c r="AI33" i="4"/>
  <c r="AN33" i="4" s="1"/>
  <c r="AH31" i="4"/>
  <c r="AM31" i="4" s="1"/>
  <c r="AF30" i="4"/>
  <c r="AK30" i="4" s="1"/>
  <c r="AI29" i="4"/>
  <c r="AN29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8" i="4"/>
  <c r="AL28" i="4" s="1"/>
  <c r="AH26" i="4"/>
  <c r="AM26" i="4" s="1"/>
  <c r="AF29" i="4"/>
  <c r="AK29" i="4" s="1"/>
  <c r="AG16" i="4"/>
  <c r="AL16" i="4" s="1"/>
  <c r="AH11" i="4"/>
  <c r="AM11" i="4" s="1"/>
  <c r="AF17" i="4"/>
  <c r="AK17" i="4" s="1"/>
  <c r="AG31" i="4"/>
  <c r="AL31" i="4" s="1"/>
  <c r="AH25" i="4"/>
  <c r="AM25" i="4" s="1"/>
  <c r="AI10" i="4"/>
  <c r="AN10" i="4" s="1"/>
  <c r="AG30" i="4"/>
  <c r="AL30" i="4" s="1"/>
  <c r="AH24" i="4"/>
  <c r="AM24" i="4" s="1"/>
  <c r="AF33" i="4"/>
  <c r="AK33" i="4" s="1"/>
  <c r="AF23" i="4"/>
  <c r="AK23" i="4" s="1"/>
  <c r="AG32" i="4"/>
  <c r="AL32" i="4" s="1"/>
  <c r="AH22" i="4"/>
  <c r="AM22" i="4" s="1"/>
  <c r="AG29" i="4"/>
  <c r="AL29" i="4" s="1"/>
  <c r="AH23" i="4"/>
  <c r="AM23" i="4" s="1"/>
  <c r="AI8" i="4"/>
  <c r="AN8" i="4" s="1"/>
  <c r="AF28" i="4"/>
  <c r="AK28" i="4" s="1"/>
  <c r="AH30" i="4"/>
  <c r="AM30" i="4" s="1"/>
  <c r="AI24" i="4"/>
  <c r="AN24" i="4" s="1"/>
  <c r="AI6" i="4"/>
  <c r="AN6" i="4" s="1"/>
  <c r="AI32" i="4"/>
  <c r="AN32" i="4" s="1"/>
  <c r="AF24" i="4"/>
  <c r="AK24" i="4" s="1"/>
  <c r="AG23" i="4"/>
  <c r="AL23" i="4" s="1"/>
  <c r="AH14" i="4"/>
  <c r="AM14" i="4" s="1"/>
  <c r="AF34" i="4"/>
  <c r="AK34" i="4" s="1"/>
  <c r="AG8" i="4"/>
  <c r="AL8" i="4" s="1"/>
  <c r="AI31" i="4"/>
  <c r="AN31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4" i="4"/>
  <c r="AL34" i="4" s="1"/>
  <c r="AH29" i="4"/>
  <c r="AM29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4" i="4"/>
  <c r="AN34" i="4" s="1"/>
  <c r="AG33" i="4"/>
  <c r="AL33" i="4" s="1"/>
  <c r="AH28" i="4"/>
  <c r="AM28" i="4" s="1"/>
  <c r="AI22" i="4"/>
  <c r="AN22" i="4" s="1"/>
  <c r="AF12" i="4"/>
  <c r="AK12" i="4" s="1"/>
  <c r="AG14" i="4"/>
  <c r="AL14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G11" i="4"/>
  <c r="AL11" i="4" s="1"/>
  <c r="AI30" i="4"/>
  <c r="AN30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1" i="4"/>
  <c r="AK31" i="4" s="1"/>
  <c r="AF13" i="4"/>
  <c r="AK13" i="4" s="1"/>
  <c r="AG7" i="4"/>
  <c r="AL7" i="4" s="1"/>
  <c r="AH19" i="4"/>
  <c r="AM19" i="4" s="1"/>
  <c r="AF32" i="4"/>
  <c r="AK32" i="4" s="1"/>
  <c r="AF10" i="4"/>
  <c r="AK10" i="4" s="1"/>
  <c r="AH33" i="4"/>
  <c r="AM33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T31" i="4" l="1"/>
  <c r="AP27" i="4"/>
  <c r="AR27" i="4"/>
  <c r="AQ27" i="4"/>
  <c r="AT27" i="4"/>
  <c r="AS27" i="4"/>
  <c r="AQ18" i="4"/>
  <c r="AS18" i="4"/>
  <c r="AT18" i="4"/>
  <c r="AR18" i="4"/>
  <c r="AP37" i="4"/>
  <c r="AU37" i="4" s="1"/>
  <c r="AP36" i="4"/>
  <c r="AP35" i="4"/>
  <c r="AT37" i="4"/>
  <c r="AT36" i="4"/>
  <c r="AT35" i="4"/>
  <c r="AS35" i="4"/>
  <c r="AS36" i="4"/>
  <c r="AS37" i="4"/>
  <c r="AX37" i="4" s="1"/>
  <c r="AT13" i="4"/>
  <c r="AT16" i="4"/>
  <c r="AT17" i="4"/>
  <c r="AT14" i="4"/>
  <c r="AT15" i="4"/>
  <c r="AR36" i="4"/>
  <c r="AR35" i="4"/>
  <c r="AR37" i="4"/>
  <c r="AQ36" i="4"/>
  <c r="AQ35" i="4"/>
  <c r="AQ37" i="4"/>
  <c r="AV37" i="4" s="1"/>
  <c r="AT33" i="4"/>
  <c r="AT19" i="4"/>
  <c r="AT20" i="4"/>
  <c r="AT12" i="4"/>
  <c r="AT21" i="4"/>
  <c r="AY21" i="4" s="1"/>
  <c r="AT29" i="4"/>
  <c r="AT26" i="4"/>
  <c r="AY26" i="4" s="1"/>
  <c r="AT23" i="4"/>
  <c r="AT25" i="4"/>
  <c r="AT22" i="4"/>
  <c r="AT28" i="4"/>
  <c r="AT24" i="4"/>
  <c r="AR16" i="4"/>
  <c r="AR33" i="4"/>
  <c r="AR29" i="4"/>
  <c r="AR26" i="4"/>
  <c r="AW26" i="4" s="1"/>
  <c r="AR23" i="4"/>
  <c r="AR13" i="4"/>
  <c r="AW9" i="4"/>
  <c r="AR15" i="4"/>
  <c r="AR30" i="4"/>
  <c r="AW30" i="4" s="1"/>
  <c r="AR25" i="4"/>
  <c r="AR17" i="4"/>
  <c r="AY9" i="4"/>
  <c r="AT30" i="4"/>
  <c r="AY30" i="4" s="1"/>
  <c r="AT32" i="4"/>
  <c r="AR14" i="4"/>
  <c r="AR31" i="4"/>
  <c r="AR12" i="4"/>
  <c r="AR19" i="4"/>
  <c r="AR20" i="4"/>
  <c r="AR28" i="4"/>
  <c r="AR21" i="4"/>
  <c r="AW21" i="4" s="1"/>
  <c r="AR22" i="4"/>
  <c r="AR24" i="4"/>
  <c r="AR34" i="4"/>
  <c r="AW34" i="4" s="1"/>
  <c r="AT34" i="4"/>
  <c r="AY34" i="4" s="1"/>
  <c r="AR32" i="4"/>
  <c r="AV9" i="4"/>
  <c r="AU9" i="4"/>
  <c r="AS15" i="4"/>
  <c r="AS19" i="4"/>
  <c r="AS23" i="4"/>
  <c r="AS28" i="4"/>
  <c r="AS32" i="4"/>
  <c r="AS13" i="4"/>
  <c r="AS26" i="4"/>
  <c r="AX26" i="4" s="1"/>
  <c r="AS16" i="4"/>
  <c r="AS20" i="4"/>
  <c r="AS24" i="4"/>
  <c r="AS29" i="4"/>
  <c r="AS33" i="4"/>
  <c r="AS14" i="4"/>
  <c r="AS22" i="4"/>
  <c r="AS12" i="4"/>
  <c r="AS17" i="4"/>
  <c r="AS21" i="4"/>
  <c r="AX21" i="4" s="1"/>
  <c r="AX19" i="4" s="1"/>
  <c r="AS25" i="4"/>
  <c r="AS30" i="4"/>
  <c r="AX30" i="4" s="1"/>
  <c r="AS34" i="4"/>
  <c r="AX34" i="4" s="1"/>
  <c r="AS31" i="4"/>
  <c r="AQ15" i="4"/>
  <c r="AQ19" i="4"/>
  <c r="AQ23" i="4"/>
  <c r="AQ28" i="4"/>
  <c r="AQ32" i="4"/>
  <c r="AQ13" i="4"/>
  <c r="AQ26" i="4"/>
  <c r="AV26" i="4" s="1"/>
  <c r="AQ16" i="4"/>
  <c r="AQ20" i="4"/>
  <c r="AQ24" i="4"/>
  <c r="AQ29" i="4"/>
  <c r="AQ33" i="4"/>
  <c r="AQ14" i="4"/>
  <c r="AQ31" i="4"/>
  <c r="AQ17" i="4"/>
  <c r="AQ21" i="4"/>
  <c r="AV21" i="4" s="1"/>
  <c r="AQ25" i="4"/>
  <c r="AQ30" i="4"/>
  <c r="AV30" i="4" s="1"/>
  <c r="AQ34" i="4"/>
  <c r="AV34" i="4" s="1"/>
  <c r="AQ22" i="4"/>
  <c r="AQ12" i="4"/>
  <c r="AP14" i="4"/>
  <c r="AP12" i="4"/>
  <c r="AP13" i="4"/>
  <c r="AP15" i="4"/>
  <c r="AP32" i="4"/>
  <c r="AP30" i="4"/>
  <c r="AU30" i="4" s="1"/>
  <c r="AP31" i="4"/>
  <c r="AP26" i="4"/>
  <c r="AU26" i="4" s="1"/>
  <c r="AP16" i="4"/>
  <c r="AP23" i="4"/>
  <c r="AP20" i="4"/>
  <c r="AP18" i="4"/>
  <c r="AP34" i="4"/>
  <c r="AU34" i="4" s="1"/>
  <c r="AP24" i="4"/>
  <c r="AP33" i="4"/>
  <c r="AP21" i="4"/>
  <c r="AU21" i="4" s="1"/>
  <c r="AP22" i="4"/>
  <c r="AP25" i="4"/>
  <c r="AP28" i="4"/>
  <c r="AP29" i="4"/>
  <c r="AP19" i="4"/>
  <c r="AP17" i="4"/>
  <c r="AX32" i="4" l="1"/>
  <c r="AX33" i="4"/>
  <c r="AX31" i="4"/>
  <c r="AY32" i="4"/>
  <c r="AY33" i="4"/>
  <c r="AY31" i="4"/>
  <c r="AW33" i="4"/>
  <c r="AW31" i="4"/>
  <c r="AW32" i="4"/>
  <c r="AV31" i="4"/>
  <c r="AV32" i="4"/>
  <c r="AV33" i="4"/>
  <c r="AU32" i="4"/>
  <c r="AU33" i="4"/>
  <c r="AU31" i="4"/>
  <c r="BB31" i="4"/>
  <c r="AV22" i="4"/>
  <c r="AV23" i="4"/>
  <c r="AV24" i="4"/>
  <c r="AV25" i="4"/>
  <c r="AW22" i="4"/>
  <c r="AW23" i="4"/>
  <c r="AW24" i="4"/>
  <c r="AW25" i="4"/>
  <c r="AV36" i="4"/>
  <c r="AV35" i="4"/>
  <c r="AX36" i="4"/>
  <c r="AX35" i="4"/>
  <c r="AY16" i="4"/>
  <c r="AY20" i="4"/>
  <c r="AY13" i="4"/>
  <c r="AY17" i="4"/>
  <c r="AY12" i="4"/>
  <c r="AY14" i="4"/>
  <c r="AY18" i="4"/>
  <c r="AY15" i="4"/>
  <c r="AY19" i="4"/>
  <c r="BD19" i="4" s="1"/>
  <c r="AX12" i="4"/>
  <c r="AX16" i="4"/>
  <c r="AX20" i="4"/>
  <c r="AU35" i="4"/>
  <c r="AU36" i="4"/>
  <c r="AW13" i="4"/>
  <c r="AW17" i="4"/>
  <c r="BB17" i="4" s="1"/>
  <c r="AW14" i="4"/>
  <c r="AW18" i="4"/>
  <c r="AW15" i="4"/>
  <c r="AW19" i="4"/>
  <c r="AW16" i="4"/>
  <c r="AW20" i="4"/>
  <c r="AW12" i="4"/>
  <c r="AX17" i="4"/>
  <c r="AX22" i="4"/>
  <c r="AX23" i="4"/>
  <c r="AX24" i="4"/>
  <c r="AX25" i="4"/>
  <c r="AY22" i="4"/>
  <c r="AY23" i="4"/>
  <c r="AY24" i="4"/>
  <c r="AY25" i="4"/>
  <c r="AX14" i="4"/>
  <c r="AU22" i="4"/>
  <c r="AU23" i="4"/>
  <c r="AU24" i="4"/>
  <c r="AU25" i="4"/>
  <c r="AU29" i="4"/>
  <c r="AU28" i="4"/>
  <c r="AU27" i="4"/>
  <c r="AX18" i="4"/>
  <c r="AX13" i="4"/>
  <c r="AX15" i="4"/>
  <c r="AV27" i="4"/>
  <c r="BA27" i="4" s="1"/>
  <c r="AV29" i="4"/>
  <c r="BA29" i="4" s="1"/>
  <c r="AV28" i="4"/>
  <c r="BA28" i="4" s="1"/>
  <c r="BA34" i="4"/>
  <c r="AY28" i="4"/>
  <c r="BC36" i="4"/>
  <c r="AW29" i="4"/>
  <c r="AW27" i="4"/>
  <c r="BB27" i="4" s="1"/>
  <c r="AW28" i="4"/>
  <c r="AX28" i="4"/>
  <c r="AX29" i="4"/>
  <c r="AX27" i="4"/>
  <c r="BC27" i="4" s="1"/>
  <c r="AY29" i="4"/>
  <c r="AY27" i="4"/>
  <c r="BD27" i="4" s="1"/>
  <c r="BA30" i="4"/>
  <c r="BA26" i="4"/>
  <c r="BD30" i="4"/>
  <c r="BD18" i="4"/>
  <c r="AW37" i="4"/>
  <c r="BB37" i="4" s="1"/>
  <c r="AY37" i="4"/>
  <c r="BD37" i="4" s="1"/>
  <c r="BA37" i="4"/>
  <c r="AY36" i="4" l="1"/>
  <c r="AW36" i="4"/>
  <c r="BB36" i="4" s="1"/>
  <c r="AW35" i="4"/>
  <c r="AY35" i="4"/>
  <c r="BD35" i="4" s="1"/>
  <c r="BB34" i="4"/>
  <c r="BD34" i="4"/>
  <c r="BB35" i="4"/>
  <c r="BD36" i="4"/>
  <c r="BB33" i="4"/>
  <c r="BB32" i="4"/>
  <c r="BD33" i="4"/>
  <c r="BD21" i="4"/>
  <c r="BD20" i="4"/>
  <c r="BD23" i="4"/>
  <c r="BB15" i="4"/>
  <c r="BB18" i="4"/>
  <c r="BB20" i="4"/>
  <c r="BB24" i="4"/>
  <c r="BB21" i="4"/>
  <c r="BB19" i="4"/>
  <c r="BB22" i="4"/>
  <c r="BB23" i="4"/>
  <c r="BB13" i="4"/>
  <c r="BB29" i="4"/>
  <c r="BB26" i="4"/>
  <c r="BB28" i="4"/>
  <c r="BB14" i="4"/>
  <c r="BB30" i="4"/>
  <c r="BB25" i="4"/>
  <c r="BB16" i="4"/>
  <c r="BD26" i="4"/>
  <c r="BD28" i="4"/>
  <c r="BD29" i="4"/>
  <c r="BD25" i="4"/>
  <c r="BD22" i="4"/>
  <c r="BD24" i="4"/>
  <c r="BD32" i="4"/>
  <c r="BC37" i="4"/>
  <c r="BC35" i="4"/>
  <c r="BA36" i="4"/>
  <c r="BA35" i="4"/>
  <c r="BC13" i="4"/>
  <c r="BC16" i="4"/>
  <c r="BC30" i="4"/>
  <c r="BC15" i="4"/>
  <c r="BC20" i="4"/>
  <c r="BC21" i="4"/>
  <c r="BC19" i="4"/>
  <c r="BC18" i="4"/>
  <c r="BC22" i="4"/>
  <c r="BC17" i="4"/>
  <c r="BC14" i="4"/>
  <c r="BC26" i="4"/>
  <c r="BC33" i="4"/>
  <c r="BC24" i="4"/>
  <c r="BC25" i="4"/>
  <c r="BC28" i="4"/>
  <c r="BC23" i="4"/>
  <c r="BC29" i="4"/>
  <c r="BC34" i="4"/>
  <c r="BC32" i="4"/>
  <c r="BC31" i="4"/>
  <c r="BD13" i="4" l="1"/>
  <c r="BD16" i="4"/>
  <c r="BD17" i="4"/>
  <c r="BD15" i="4"/>
  <c r="BD14" i="4"/>
  <c r="BD31" i="4"/>
  <c r="BA33" i="4" l="1"/>
  <c r="BA31" i="4"/>
  <c r="BA32" i="4"/>
  <c r="AZ27" i="4" l="1"/>
  <c r="AZ29" i="4"/>
  <c r="AZ26" i="4"/>
  <c r="AZ34" i="4"/>
  <c r="AZ30" i="4"/>
  <c r="AZ37" i="4"/>
  <c r="AZ28" i="4"/>
  <c r="AZ36" i="4"/>
  <c r="AZ35" i="4"/>
  <c r="AZ21" i="4"/>
  <c r="AU19" i="4"/>
  <c r="AZ19" i="4"/>
  <c r="AU14" i="4"/>
  <c r="AZ14" i="4" s="1"/>
  <c r="AU15" i="4"/>
  <c r="AZ15" i="4" s="1"/>
  <c r="BC12" i="4"/>
  <c r="AU13" i="4"/>
  <c r="AZ13" i="4" s="1"/>
  <c r="AZ22" i="4"/>
  <c r="BD12" i="4"/>
  <c r="AU16" i="4"/>
  <c r="AZ16" i="4" s="1"/>
  <c r="AU12" i="4"/>
  <c r="AZ12" i="4" s="1"/>
  <c r="BB12" i="4"/>
  <c r="AU18" i="4"/>
  <c r="AZ18" i="4" s="1"/>
  <c r="AU17" i="4"/>
  <c r="AZ17" i="4"/>
  <c r="AU20" i="4"/>
  <c r="AZ23" i="4" s="1"/>
  <c r="AZ24" i="4"/>
  <c r="AZ20" i="4" l="1"/>
  <c r="AZ25" i="4"/>
  <c r="BA21" i="4"/>
  <c r="AV16" i="4"/>
  <c r="BA16" i="4" s="1"/>
  <c r="AV18" i="4"/>
  <c r="BA18" i="4"/>
  <c r="AV14" i="4"/>
  <c r="BA14" i="4" s="1"/>
  <c r="AV15" i="4"/>
  <c r="BA15" i="4" s="1"/>
  <c r="AV13" i="4"/>
  <c r="BA13" i="4" s="1"/>
  <c r="AV17" i="4"/>
  <c r="BA17" i="4"/>
  <c r="AV19" i="4"/>
  <c r="BA19" i="4" s="1"/>
  <c r="AV12" i="4"/>
  <c r="BA12" i="4"/>
  <c r="AV20" i="4"/>
  <c r="BA23" i="4" s="1"/>
  <c r="BA24" i="4" l="1"/>
  <c r="BA20" i="4"/>
  <c r="BA22" i="4"/>
  <c r="BA25" i="4"/>
  <c r="AZ31" i="4" l="1"/>
  <c r="AZ32" i="4"/>
  <c r="AZ33" i="4"/>
</calcChain>
</file>

<file path=xl/sharedStrings.xml><?xml version="1.0" encoding="utf-8"?>
<sst xmlns="http://schemas.openxmlformats.org/spreadsheetml/2006/main" count="459" uniqueCount="122">
  <si>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</si>
  <si>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</si>
  <si>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</si>
  <si>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</si>
  <si>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</si>
  <si>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</si>
  <si>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</si>
  <si>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</si>
  <si>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</si>
  <si>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</si>
  <si>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</si>
  <si>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</si>
  <si>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</si>
  <si>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</si>
  <si>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</si>
  <si>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</si>
  <si>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</si>
  <si>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</si>
  <si>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</si>
  <si>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</si>
  <si>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</si>
  <si>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</si>
  <si>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</si>
  <si>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</si>
  <si>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</si>
  <si>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</si>
  <si>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</si>
  <si>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</si>
  <si>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</si>
  <si>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</si>
  <si>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</si>
  <si>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</si>
  <si>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</si>
  <si>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</si>
  <si>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</si>
  <si>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</si>
  <si>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</si>
  <si>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</si>
  <si>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</si>
  <si>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</si>
  <si>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</si>
  <si>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</si>
  <si>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</si>
  <si>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</si>
  <si>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</si>
  <si>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</si>
  <si>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</si>
  <si>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</si>
  <si>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</si>
  <si>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</si>
  <si>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</si>
  <si>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</si>
  <si>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</si>
  <si>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</si>
  <si>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</si>
  <si>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</si>
  <si>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</si>
  <si>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</si>
  <si>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</si>
  <si>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</si>
  <si>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</si>
  <si>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</si>
  <si>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</si>
  <si>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</si>
  <si>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</si>
  <si>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</si>
  <si>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</si>
  <si>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</si>
  <si>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</si>
  <si>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</si>
  <si>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</si>
  <si>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</si>
  <si>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</si>
  <si>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</si>
  <si>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</si>
  <si>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</si>
  <si>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</si>
  <si>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</si>
  <si>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</si>
  <si>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</si>
  <si>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</si>
  <si>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</si>
  <si>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</si>
  <si>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</si>
  <si>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</si>
  <si>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</si>
  <si>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</si>
  <si>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</si>
  <si>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</si>
  <si>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</si>
  <si>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</si>
  <si>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</si>
  <si>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</si>
  <si>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</si>
  <si>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</si>
  <si>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</si>
  <si>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</si>
  <si>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</si>
  <si>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</si>
  <si>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</si>
  <si>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</si>
  <si>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</si>
  <si>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</si>
  <si>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</si>
  <si>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</si>
  <si>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</si>
  <si>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</si>
  <si>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</si>
  <si>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</si>
  <si>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</si>
  <si>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</si>
  <si>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</si>
  <si>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</si>
  <si>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</si>
  <si>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</si>
  <si>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</si>
  <si>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</si>
  <si>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</si>
  <si>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</si>
  <si>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</si>
  <si>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Port 3E</t>
  </si>
  <si>
    <t>Port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</si>
</sst>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Samples'!$D$12:$D$20,'Aqueous Samples'!$D$22:$D$25,'Aqueous Samples'!$D$27:$D$29,'Aqueous Samples'!$D$31:$D$33,'Aqueous Samples'!$D$35:$D$36)</c:f>
              <c:numCache>
                <c:formatCode>0</c:formatCode>
                <c:ptCount val="21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317.00000000000006</c:v>
                </c:pt>
                <c:pt idx="14">
                  <c:v>368.00000000000006</c:v>
                </c:pt>
                <c:pt idx="15">
                  <c:v>419.00000000000006</c:v>
                </c:pt>
                <c:pt idx="16">
                  <c:v>466.99999999999989</c:v>
                </c:pt>
                <c:pt idx="17">
                  <c:v>525</c:v>
                </c:pt>
                <c:pt idx="18">
                  <c:v>590.99999999999989</c:v>
                </c:pt>
                <c:pt idx="19">
                  <c:v>653</c:v>
                </c:pt>
                <c:pt idx="20">
                  <c:v>722</c:v>
                </c:pt>
              </c:numCache>
            </c:numRef>
          </c:xVal>
          <c:yVal>
            <c:numRef>
              <c:f>('Aqueous Samples'!$AZ$12:$AZ$20,'Aqueous Samples'!$AZ$22:$AZ$25,'Aqueous Samples'!$AZ$27:$AZ$29,'Aqueous Samples'!$AZ$31:$AZ$33,'Aqueous Samples'!$AZ$35:$AZ$36)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0.44983416979017082</c:v>
                </c:pt>
                <c:pt idx="5">
                  <c:v>0.55023615240604051</c:v>
                </c:pt>
                <c:pt idx="6">
                  <c:v>0.59939146856877723</c:v>
                </c:pt>
                <c:pt idx="7">
                  <c:v>0.5998717666012624</c:v>
                </c:pt>
                <c:pt idx="8">
                  <c:v>0.75601738956572051</c:v>
                </c:pt>
                <c:pt idx="9">
                  <c:v>0.76008074403558767</c:v>
                </c:pt>
                <c:pt idx="10">
                  <c:v>0.84661723828553537</c:v>
                </c:pt>
                <c:pt idx="11">
                  <c:v>0.79837140647629201</c:v>
                </c:pt>
                <c:pt idx="12">
                  <c:v>0.80059159968601556</c:v>
                </c:pt>
                <c:pt idx="13">
                  <c:v>0.81169074949046349</c:v>
                </c:pt>
                <c:pt idx="14">
                  <c:v>0.85214128624043084</c:v>
                </c:pt>
                <c:pt idx="15">
                  <c:v>0.91758005503446483</c:v>
                </c:pt>
                <c:pt idx="16">
                  <c:v>0.96898259150241861</c:v>
                </c:pt>
                <c:pt idx="17">
                  <c:v>0.92883753098952837</c:v>
                </c:pt>
                <c:pt idx="18">
                  <c:v>0.89793476226593849</c:v>
                </c:pt>
                <c:pt idx="19">
                  <c:v>0.90933110012790408</c:v>
                </c:pt>
                <c:pt idx="20">
                  <c:v>0.93801477472389683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Samples'!$D$12:$D$20,'Aqueous Samples'!$D$22:$D$25,'Aqueous Samples'!$D$27:$D$29,'Aqueous Samples'!$D$31:$D$33,'Aqueous Samples'!$D$35:$D$36)</c:f>
              <c:numCache>
                <c:formatCode>0</c:formatCode>
                <c:ptCount val="21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317.00000000000006</c:v>
                </c:pt>
                <c:pt idx="14">
                  <c:v>368.00000000000006</c:v>
                </c:pt>
                <c:pt idx="15">
                  <c:v>419.00000000000006</c:v>
                </c:pt>
                <c:pt idx="16">
                  <c:v>466.99999999999989</c:v>
                </c:pt>
                <c:pt idx="17">
                  <c:v>525</c:v>
                </c:pt>
                <c:pt idx="18">
                  <c:v>590.99999999999989</c:v>
                </c:pt>
                <c:pt idx="19">
                  <c:v>653</c:v>
                </c:pt>
                <c:pt idx="20">
                  <c:v>722</c:v>
                </c:pt>
              </c:numCache>
            </c:numRef>
          </c:xVal>
          <c:yVal>
            <c:numRef>
              <c:f>('Aqueous Samples'!$BA$12:$BA$20,'Aqueous Samples'!$BA$22:$BA$25,'Aqueous Samples'!$BA$27:$BA$29,'Aqueous Samples'!$BA$31:$BA$33,'Aqueous Samples'!$BA$35:$BA$36)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0.12165917147571409</c:v>
                </c:pt>
                <c:pt idx="4">
                  <c:v>0.22371974586474092</c:v>
                </c:pt>
                <c:pt idx="5">
                  <c:v>0.33568225017794212</c:v>
                </c:pt>
                <c:pt idx="6">
                  <c:v>0.43732644344221649</c:v>
                </c:pt>
                <c:pt idx="7">
                  <c:v>0.39472151212079459</c:v>
                </c:pt>
                <c:pt idx="8">
                  <c:v>0.57731858411029269</c:v>
                </c:pt>
                <c:pt idx="9">
                  <c:v>0.57465954764082616</c:v>
                </c:pt>
                <c:pt idx="10">
                  <c:v>0.68574311519389974</c:v>
                </c:pt>
                <c:pt idx="11">
                  <c:v>0.6681968775087419</c:v>
                </c:pt>
                <c:pt idx="12">
                  <c:v>0.67587351392393069</c:v>
                </c:pt>
                <c:pt idx="13">
                  <c:v>0.69285863919238622</c:v>
                </c:pt>
                <c:pt idx="14">
                  <c:v>0.7428737908731522</c:v>
                </c:pt>
                <c:pt idx="15">
                  <c:v>0.81065758820323064</c:v>
                </c:pt>
                <c:pt idx="16">
                  <c:v>0.93464641325766473</c:v>
                </c:pt>
                <c:pt idx="17">
                  <c:v>0.80797439196404541</c:v>
                </c:pt>
                <c:pt idx="18">
                  <c:v>0.77943119168825215</c:v>
                </c:pt>
                <c:pt idx="19">
                  <c:v>0.75165045894358451</c:v>
                </c:pt>
                <c:pt idx="20">
                  <c:v>0.80118908589775595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Samples'!$D$12:$D$20,'Aqueous Samples'!$D$22:$D$25,'Aqueous Samples'!$D$27:$D$29,'Aqueous Samples'!$D$31:$D$33,'Aqueous Samples'!$D$35:$D$36)</c:f>
              <c:numCache>
                <c:formatCode>0</c:formatCode>
                <c:ptCount val="21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317.00000000000006</c:v>
                </c:pt>
                <c:pt idx="14">
                  <c:v>368.00000000000006</c:v>
                </c:pt>
                <c:pt idx="15">
                  <c:v>419.00000000000006</c:v>
                </c:pt>
                <c:pt idx="16">
                  <c:v>466.99999999999989</c:v>
                </c:pt>
                <c:pt idx="17">
                  <c:v>525</c:v>
                </c:pt>
                <c:pt idx="18">
                  <c:v>590.99999999999989</c:v>
                </c:pt>
                <c:pt idx="19">
                  <c:v>653</c:v>
                </c:pt>
                <c:pt idx="20">
                  <c:v>722</c:v>
                </c:pt>
              </c:numCache>
            </c:numRef>
          </c:xVal>
          <c:yVal>
            <c:numRef>
              <c:f>('Aqueous Samples'!$BC$12:$BC$20,'Aqueous Samples'!$BC$22:$BC$25,'Aqueous Samples'!$BC$27:$BC$29,'Aqueous Samples'!$BC$31:$BC$33,'Aqueous Samples'!$BC$35:$BC$36)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0.40334345553924472</c:v>
                </c:pt>
                <c:pt idx="4">
                  <c:v>0.4929332278194487</c:v>
                </c:pt>
                <c:pt idx="5">
                  <c:v>0.62524289931742882</c:v>
                </c:pt>
                <c:pt idx="6">
                  <c:v>0.66051654002849169</c:v>
                </c:pt>
                <c:pt idx="7">
                  <c:v>0.64363642551710498</c:v>
                </c:pt>
                <c:pt idx="8">
                  <c:v>0.78878995525947393</c:v>
                </c:pt>
                <c:pt idx="9">
                  <c:v>0.78765077102611447</c:v>
                </c:pt>
                <c:pt idx="10">
                  <c:v>0.88786719153468441</c:v>
                </c:pt>
                <c:pt idx="11">
                  <c:v>0.86030340709615793</c:v>
                </c:pt>
                <c:pt idx="12">
                  <c:v>0.82946894259114889</c:v>
                </c:pt>
                <c:pt idx="13">
                  <c:v>0.84995818198199757</c:v>
                </c:pt>
                <c:pt idx="14">
                  <c:v>0.89467527054249552</c:v>
                </c:pt>
                <c:pt idx="15">
                  <c:v>0.94603017866367867</c:v>
                </c:pt>
                <c:pt idx="16">
                  <c:v>0.98624717088128722</c:v>
                </c:pt>
                <c:pt idx="17">
                  <c:v>0.9190301129323315</c:v>
                </c:pt>
                <c:pt idx="18">
                  <c:v>0.87193210802255661</c:v>
                </c:pt>
                <c:pt idx="19">
                  <c:v>0.90012437478571272</c:v>
                </c:pt>
                <c:pt idx="20">
                  <c:v>0.93022565330364515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Samples'!$D$12:$D$20,'Aqueous Samples'!$D$22:$D$25,'Aqueous Samples'!$D$27:$D$29,'Aqueous Samples'!$D$31:$D$33,'Aqueous Samples'!$D$35:$D$36)</c:f>
              <c:numCache>
                <c:formatCode>0</c:formatCode>
                <c:ptCount val="21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317.00000000000006</c:v>
                </c:pt>
                <c:pt idx="14">
                  <c:v>368.00000000000006</c:v>
                </c:pt>
                <c:pt idx="15">
                  <c:v>419.00000000000006</c:v>
                </c:pt>
                <c:pt idx="16">
                  <c:v>466.99999999999989</c:v>
                </c:pt>
                <c:pt idx="17">
                  <c:v>525</c:v>
                </c:pt>
                <c:pt idx="18">
                  <c:v>590.99999999999989</c:v>
                </c:pt>
                <c:pt idx="19">
                  <c:v>653</c:v>
                </c:pt>
                <c:pt idx="20">
                  <c:v>722</c:v>
                </c:pt>
              </c:numCache>
            </c:numRef>
          </c:xVal>
          <c:yVal>
            <c:numRef>
              <c:f>('Aqueous Samples'!$BB$12:$BB$20,'Aqueous Samples'!$BB$22:$BB$25,'Aqueous Samples'!$BB$27:$BB$29,'Aqueous Samples'!$BB$31:$BB$33,'Aqueous Samples'!$BB$35:$BB$36)</c:f>
              <c:numCache>
                <c:formatCode>General</c:formatCode>
                <c:ptCount val="21"/>
                <c:pt idx="0">
                  <c:v>7.5874560979709131E-4</c:v>
                </c:pt>
                <c:pt idx="1">
                  <c:v>1.7711990736451809E-3</c:v>
                </c:pt>
                <c:pt idx="2">
                  <c:v>6.5585254036403237E-2</c:v>
                </c:pt>
                <c:pt idx="3">
                  <c:v>0.48456300576703981</c:v>
                </c:pt>
                <c:pt idx="4">
                  <c:v>0.65416299294045055</c:v>
                </c:pt>
                <c:pt idx="5">
                  <c:v>0.83111376267529669</c:v>
                </c:pt>
                <c:pt idx="6">
                  <c:v>0.92934427040309786</c:v>
                </c:pt>
                <c:pt idx="7">
                  <c:v>0.8579886950194292</c:v>
                </c:pt>
                <c:pt idx="8">
                  <c:v>1.0327420266242953</c:v>
                </c:pt>
                <c:pt idx="9">
                  <c:v>1.0405724875156579</c:v>
                </c:pt>
                <c:pt idx="10">
                  <c:v>1.0755792792346808</c:v>
                </c:pt>
                <c:pt idx="11">
                  <c:v>1.0419860495359019</c:v>
                </c:pt>
                <c:pt idx="12">
                  <c:v>0.98613798739300418</c:v>
                </c:pt>
                <c:pt idx="13">
                  <c:v>0.95996962713668654</c:v>
                </c:pt>
                <c:pt idx="14">
                  <c:v>0.96212335495251522</c:v>
                </c:pt>
                <c:pt idx="15">
                  <c:v>1.0038575908193073</c:v>
                </c:pt>
                <c:pt idx="16">
                  <c:v>1.0561672611946467</c:v>
                </c:pt>
                <c:pt idx="17">
                  <c:v>0.97449052916854983</c:v>
                </c:pt>
                <c:pt idx="18">
                  <c:v>0.97504990699992022</c:v>
                </c:pt>
                <c:pt idx="19">
                  <c:v>0.96029415949636077</c:v>
                </c:pt>
                <c:pt idx="20">
                  <c:v>0.97488512051187592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Samples'!$D$12:$D$20,'Aqueous Samples'!$D$22:$D$25,'Aqueous Samples'!$D$27:$D$29,'Aqueous Samples'!$D$31:$D$33,'Aqueous Samples'!$D$35:$D$36)</c:f>
              <c:numCache>
                <c:formatCode>0</c:formatCode>
                <c:ptCount val="21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317.00000000000006</c:v>
                </c:pt>
                <c:pt idx="14">
                  <c:v>368.00000000000006</c:v>
                </c:pt>
                <c:pt idx="15">
                  <c:v>419.00000000000006</c:v>
                </c:pt>
                <c:pt idx="16">
                  <c:v>466.99999999999989</c:v>
                </c:pt>
                <c:pt idx="17">
                  <c:v>525</c:v>
                </c:pt>
                <c:pt idx="18">
                  <c:v>590.99999999999989</c:v>
                </c:pt>
                <c:pt idx="19">
                  <c:v>653</c:v>
                </c:pt>
                <c:pt idx="20">
                  <c:v>722</c:v>
                </c:pt>
              </c:numCache>
            </c:numRef>
          </c:xVal>
          <c:yVal>
            <c:numRef>
              <c:f>('Aqueous Samples'!$BD$12:$BD$20,'Aqueous Samples'!$BD$22:$BD$25,'Aqueous Samples'!$BD$27:$BD$29,'Aqueous Samples'!$BD$31:$BD$33,'Aqueous Samples'!$BD$35:$BD$36)</c:f>
              <c:numCache>
                <c:formatCode>General</c:formatCode>
                <c:ptCount val="21"/>
                <c:pt idx="0">
                  <c:v>3.0861310104661499E-4</c:v>
                </c:pt>
                <c:pt idx="1">
                  <c:v>1.2740277319392287E-3</c:v>
                </c:pt>
                <c:pt idx="2">
                  <c:v>1.5882803711856807E-2</c:v>
                </c:pt>
                <c:pt idx="3">
                  <c:v>0.22101700641929461</c:v>
                </c:pt>
                <c:pt idx="4">
                  <c:v>0.34692079317654861</c:v>
                </c:pt>
                <c:pt idx="5">
                  <c:v>0.5102334181864544</c:v>
                </c:pt>
                <c:pt idx="6">
                  <c:v>0.63050708008141809</c:v>
                </c:pt>
                <c:pt idx="7">
                  <c:v>0.57902048125876671</c:v>
                </c:pt>
                <c:pt idx="8">
                  <c:v>0.77433798569250223</c:v>
                </c:pt>
                <c:pt idx="9">
                  <c:v>0.80366502285276153</c:v>
                </c:pt>
                <c:pt idx="10">
                  <c:v>0.86929970192238604</c:v>
                </c:pt>
                <c:pt idx="11">
                  <c:v>0.87053832469533865</c:v>
                </c:pt>
                <c:pt idx="12">
                  <c:v>0.87542377536840565</c:v>
                </c:pt>
                <c:pt idx="13">
                  <c:v>0.87123762068003019</c:v>
                </c:pt>
                <c:pt idx="14">
                  <c:v>0.90362995662211898</c:v>
                </c:pt>
                <c:pt idx="15">
                  <c:v>0.93202588725125912</c:v>
                </c:pt>
                <c:pt idx="16">
                  <c:v>0.96409775918340446</c:v>
                </c:pt>
                <c:pt idx="17">
                  <c:v>0.92465767636238805</c:v>
                </c:pt>
                <c:pt idx="18">
                  <c:v>0.90537741446140418</c:v>
                </c:pt>
                <c:pt idx="19">
                  <c:v>0.88898634318339165</c:v>
                </c:pt>
                <c:pt idx="20">
                  <c:v>0.90593161499178587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Bromide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x"/>
                  <c:size val="9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('Aqueous Samples'!$BG$12:$BG$26,'Aqueous Samples'!$BG$28:$BG$29,'Aqueous Samples'!$BG$31:$BG$36,'Aqueous Samples'!$BG$37:$BG$39,'Aqueous Samples'!$BG$40:$BG$41,'Aqueous Samples'!$BG$43:$BG$43)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1.9999999999999929</c:v>
                      </c:pt>
                      <c:pt idx="1">
                        <c:v>11</c:v>
                      </c:pt>
                      <c:pt idx="2">
                        <c:v>19.999999999999929</c:v>
                      </c:pt>
                      <c:pt idx="3">
                        <c:v>30</c:v>
                      </c:pt>
                      <c:pt idx="4">
                        <c:v>40.999999999999936</c:v>
                      </c:pt>
                      <c:pt idx="5">
                        <c:v>50</c:v>
                      </c:pt>
                      <c:pt idx="6">
                        <c:v>66.999999999999915</c:v>
                      </c:pt>
                      <c:pt idx="7">
                        <c:v>72</c:v>
                      </c:pt>
                      <c:pt idx="8">
                        <c:v>81.000000000000028</c:v>
                      </c:pt>
                      <c:pt idx="9">
                        <c:v>91</c:v>
                      </c:pt>
                      <c:pt idx="10">
                        <c:v>100.99999999999996</c:v>
                      </c:pt>
                      <c:pt idx="11">
                        <c:v>103</c:v>
                      </c:pt>
                      <c:pt idx="12">
                        <c:v>122.99999999999996</c:v>
                      </c:pt>
                      <c:pt idx="13">
                        <c:v>125</c:v>
                      </c:pt>
                      <c:pt idx="14">
                        <c:v>140</c:v>
                      </c:pt>
                      <c:pt idx="15">
                        <c:v>160</c:v>
                      </c:pt>
                      <c:pt idx="16">
                        <c:v>161</c:v>
                      </c:pt>
                      <c:pt idx="17">
                        <c:v>182.00000000000009</c:v>
                      </c:pt>
                      <c:pt idx="18">
                        <c:v>200</c:v>
                      </c:pt>
                      <c:pt idx="19">
                        <c:v>204</c:v>
                      </c:pt>
                      <c:pt idx="20">
                        <c:v>231.00000000000006</c:v>
                      </c:pt>
                      <c:pt idx="21">
                        <c:v>234</c:v>
                      </c:pt>
                      <c:pt idx="22">
                        <c:v>272.99999999999989</c:v>
                      </c:pt>
                      <c:pt idx="23">
                        <c:v>317.00000000000006</c:v>
                      </c:pt>
                      <c:pt idx="24">
                        <c:v>368.00000000000006</c:v>
                      </c:pt>
                      <c:pt idx="25">
                        <c:v>419.00000000000006</c:v>
                      </c:pt>
                      <c:pt idx="26">
                        <c:v>466.99999999999989</c:v>
                      </c:pt>
                      <c:pt idx="27">
                        <c:v>525</c:v>
                      </c:pt>
                      <c:pt idx="28">
                        <c:v>653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('Aqueous Samples'!$BH$12:$BH$26,'Aqueous Samples'!$BH$28:$BH$29,'Aqueous Samples'!$BH$31:$BH$36,'Aqueous Samples'!$BH$37:$BH$39,'Aqueous Samples'!$BH$40:$BH$41,'Aqueous Samples'!$BH$43:$BH$43)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5.344683497560879E-3</c:v>
                      </c:pt>
                      <c:pt idx="3">
                        <c:v>0.11252988163955456</c:v>
                      </c:pt>
                      <c:pt idx="4">
                        <c:v>0.19415777505684803</c:v>
                      </c:pt>
                      <c:pt idx="5">
                        <c:v>0.24342603929800014</c:v>
                      </c:pt>
                      <c:pt idx="6">
                        <c:v>0.51775406681826142</c:v>
                      </c:pt>
                      <c:pt idx="7">
                        <c:v>0.57168678211183022</c:v>
                      </c:pt>
                      <c:pt idx="8">
                        <c:v>0.67751151536353571</c:v>
                      </c:pt>
                      <c:pt idx="9">
                        <c:v>0.72940353332167218</c:v>
                      </c:pt>
                      <c:pt idx="10">
                        <c:v>0.83231298466561709</c:v>
                      </c:pt>
                      <c:pt idx="11">
                        <c:v>0.80082794006180402</c:v>
                      </c:pt>
                      <c:pt idx="12">
                        <c:v>0.87050317765727936</c:v>
                      </c:pt>
                      <c:pt idx="13">
                        <c:v>0.8818727770975453</c:v>
                      </c:pt>
                      <c:pt idx="14">
                        <c:v>0.88507958719608182</c:v>
                      </c:pt>
                      <c:pt idx="15">
                        <c:v>0.89557460206401951</c:v>
                      </c:pt>
                      <c:pt idx="16">
                        <c:v>0.94221911258818725</c:v>
                      </c:pt>
                      <c:pt idx="17">
                        <c:v>0.96408372689639088</c:v>
                      </c:pt>
                      <c:pt idx="18">
                        <c:v>0.94017841525275503</c:v>
                      </c:pt>
                      <c:pt idx="19">
                        <c:v>0.95796163489009389</c:v>
                      </c:pt>
                      <c:pt idx="20">
                        <c:v>0.95621246574543761</c:v>
                      </c:pt>
                      <c:pt idx="21">
                        <c:v>0.93930383068042678</c:v>
                      </c:pt>
                      <c:pt idx="22">
                        <c:v>1.0086875400851263</c:v>
                      </c:pt>
                      <c:pt idx="23">
                        <c:v>0.96087691679785436</c:v>
                      </c:pt>
                      <c:pt idx="24">
                        <c:v>0.95562940936388541</c:v>
                      </c:pt>
                      <c:pt idx="25">
                        <c:v>0.96524983965949507</c:v>
                      </c:pt>
                      <c:pt idx="26">
                        <c:v>0.95737857850854191</c:v>
                      </c:pt>
                      <c:pt idx="27">
                        <c:v>0.9667074806133753</c:v>
                      </c:pt>
                      <c:pt idx="28">
                        <c:v>0.96641595242259937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1A-4589-870E-228A5020F1A8}"/>
                  </c:ext>
                </c:extLst>
              </c15:ser>
            </c15:filteredScatterSeries>
          </c:ext>
        </c:extLst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161.99999999999997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313.00000000000011</c:v>
                </c:pt>
                <c:pt idx="14">
                  <c:v>419.00000000000006</c:v>
                </c:pt>
                <c:pt idx="15">
                  <c:v>462.99999999999989</c:v>
                </c:pt>
                <c:pt idx="16">
                  <c:v>525</c:v>
                </c:pt>
                <c:pt idx="17">
                  <c:v>590.99999999999989</c:v>
                </c:pt>
                <c:pt idx="18">
                  <c:v>653</c:v>
                </c:pt>
                <c:pt idx="19">
                  <c:v>722</c:v>
                </c:pt>
              </c:numCache>
            </c:numRef>
          </c:xVal>
          <c:yVal>
            <c:numRef>
              <c:f>('Aqueous Samples'!$BB$12:$BB$19,'Aqueous Samples'!$BB$21:$BB$26,'Aqueous Samples'!$BB$29:$BB$30,'Aqueous Samples'!$BB$32:$BB$33,'Aqueous Samples'!$BB$35:$BB$36)</c:f>
              <c:numCache>
                <c:formatCode>General</c:formatCode>
                <c:ptCount val="20"/>
                <c:pt idx="0">
                  <c:v>7.5874560979709131E-4</c:v>
                </c:pt>
                <c:pt idx="1">
                  <c:v>1.7711990736451809E-3</c:v>
                </c:pt>
                <c:pt idx="2">
                  <c:v>6.5585254036403237E-2</c:v>
                </c:pt>
                <c:pt idx="3">
                  <c:v>0.48456300576703981</c:v>
                </c:pt>
                <c:pt idx="4">
                  <c:v>0.65416299294045055</c:v>
                </c:pt>
                <c:pt idx="5">
                  <c:v>0.83111376267529669</c:v>
                </c:pt>
                <c:pt idx="6">
                  <c:v>0.92934427040309786</c:v>
                </c:pt>
                <c:pt idx="7">
                  <c:v>0.8579886950194292</c:v>
                </c:pt>
                <c:pt idx="8">
                  <c:v>1</c:v>
                </c:pt>
                <c:pt idx="9">
                  <c:v>1.0405724875156579</c:v>
                </c:pt>
                <c:pt idx="10">
                  <c:v>1.0755792792346808</c:v>
                </c:pt>
                <c:pt idx="11">
                  <c:v>1.0419860495359019</c:v>
                </c:pt>
                <c:pt idx="12">
                  <c:v>0.98613798739300418</c:v>
                </c:pt>
                <c:pt idx="13">
                  <c:v>1</c:v>
                </c:pt>
                <c:pt idx="14">
                  <c:v>1.0038575908193073</c:v>
                </c:pt>
                <c:pt idx="15">
                  <c:v>1</c:v>
                </c:pt>
                <c:pt idx="16">
                  <c:v>0.97449052916854983</c:v>
                </c:pt>
                <c:pt idx="17">
                  <c:v>0.97504990699992022</c:v>
                </c:pt>
                <c:pt idx="18">
                  <c:v>0.96029415949636077</c:v>
                </c:pt>
                <c:pt idx="19">
                  <c:v>0.97488512051187592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1.9999999999999929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66.999999999999915</c:v>
                </c:pt>
                <c:pt idx="4">
                  <c:v>81.000000000000028</c:v>
                </c:pt>
                <c:pt idx="5">
                  <c:v>100.99999999999996</c:v>
                </c:pt>
                <c:pt idx="6">
                  <c:v>122.99999999999996</c:v>
                </c:pt>
                <c:pt idx="7">
                  <c:v>141.00000000000006</c:v>
                </c:pt>
                <c:pt idx="8">
                  <c:v>161.99999999999997</c:v>
                </c:pt>
                <c:pt idx="9">
                  <c:v>182.00000000000009</c:v>
                </c:pt>
                <c:pt idx="10">
                  <c:v>200</c:v>
                </c:pt>
                <c:pt idx="11">
                  <c:v>231.00000000000006</c:v>
                </c:pt>
                <c:pt idx="12">
                  <c:v>272.99999999999989</c:v>
                </c:pt>
                <c:pt idx="13">
                  <c:v>313.00000000000011</c:v>
                </c:pt>
                <c:pt idx="14">
                  <c:v>419.00000000000006</c:v>
                </c:pt>
                <c:pt idx="15">
                  <c:v>462.99999999999989</c:v>
                </c:pt>
                <c:pt idx="16">
                  <c:v>525</c:v>
                </c:pt>
                <c:pt idx="17">
                  <c:v>590.99999999999989</c:v>
                </c:pt>
                <c:pt idx="18">
                  <c:v>653</c:v>
                </c:pt>
                <c:pt idx="19">
                  <c:v>722</c:v>
                </c:pt>
              </c:numCache>
            </c:numRef>
          </c:xVal>
          <c:yVal>
            <c:numRef>
              <c:f>('Aqueous Samples'!$BD$12:$BD$19,'Aqueous Samples'!$BD$21:$BD$26,'Aqueous Samples'!$BD$28:$BD$29,'Aqueous Samples'!$BD$30,'Aqueous Samples'!$BD$32:$BD$33,'Aqueous Samples'!$BD$35:$BD$36)</c:f>
              <c:numCache>
                <c:formatCode>General</c:formatCode>
                <c:ptCount val="21"/>
                <c:pt idx="0">
                  <c:v>3.0861310104661499E-4</c:v>
                </c:pt>
                <c:pt idx="1">
                  <c:v>1.2740277319392287E-3</c:v>
                </c:pt>
                <c:pt idx="2">
                  <c:v>1.5882803711856807E-2</c:v>
                </c:pt>
                <c:pt idx="3">
                  <c:v>0.22101700641929461</c:v>
                </c:pt>
                <c:pt idx="4">
                  <c:v>0.34692079317654861</c:v>
                </c:pt>
                <c:pt idx="5">
                  <c:v>0.5102334181864544</c:v>
                </c:pt>
                <c:pt idx="6">
                  <c:v>0.63050708008141809</c:v>
                </c:pt>
                <c:pt idx="7">
                  <c:v>0.57902048125876671</c:v>
                </c:pt>
                <c:pt idx="8">
                  <c:v>1</c:v>
                </c:pt>
                <c:pt idx="9">
                  <c:v>0.80366502285276153</c:v>
                </c:pt>
                <c:pt idx="10">
                  <c:v>0.86929970192238604</c:v>
                </c:pt>
                <c:pt idx="11">
                  <c:v>0.87053832469533865</c:v>
                </c:pt>
                <c:pt idx="12">
                  <c:v>0.87542377536840565</c:v>
                </c:pt>
                <c:pt idx="13">
                  <c:v>1</c:v>
                </c:pt>
                <c:pt idx="14">
                  <c:v>0.90362995662211898</c:v>
                </c:pt>
                <c:pt idx="15">
                  <c:v>0.93202588725125912</c:v>
                </c:pt>
                <c:pt idx="16">
                  <c:v>1</c:v>
                </c:pt>
                <c:pt idx="17">
                  <c:v>0.92465767636238805</c:v>
                </c:pt>
                <c:pt idx="18">
                  <c:v>0.90537741446140418</c:v>
                </c:pt>
                <c:pt idx="19">
                  <c:v>0.88898634318339165</c:v>
                </c:pt>
                <c:pt idx="20">
                  <c:v>0.90593161499178587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33</xdr:row>
      <xdr:rowOff>147637</xdr:rowOff>
    </xdr:from>
    <xdr:to>
      <xdr:col>69</xdr:col>
      <xdr:colOff>419100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33</xdr:row>
      <xdr:rowOff>128587</xdr:rowOff>
    </xdr:from>
    <xdr:to>
      <xdr:col>77</xdr:col>
      <xdr:colOff>476250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H48"/>
  <sheetViews>
    <sheetView tabSelected="1" topLeftCell="AT4" workbookViewId="0">
      <selection activeCell="BE11" sqref="BE11"/>
    </sheetView>
  </sheetViews>
  <sheetFormatPr defaultRowHeight="15" x14ac:dyDescent="0.25"/>
  <cols>
    <col min="1" max="1" width="9.140625" style="10"/>
    <col min="2" max="2" width="23.42578125" style="10" customWidth="1"/>
    <col min="3" max="3" width="20.7109375" style="10" customWidth="1"/>
    <col min="4" max="4" width="18.85546875" style="10" customWidth="1"/>
    <col min="5" max="5" width="15.28515625" style="10" customWidth="1"/>
    <col min="6" max="6" width="9.140625" style="10"/>
    <col min="7" max="7" width="14.28515625" style="10" customWidth="1"/>
    <col min="8" max="8" width="17.140625" style="10" customWidth="1"/>
    <col min="9" max="9" width="26" style="10" customWidth="1"/>
    <col min="10" max="10" width="22.42578125" style="10" customWidth="1"/>
    <col min="11" max="11" width="21.42578125" style="10" customWidth="1"/>
    <col min="12" max="13" width="9.140625" style="10"/>
    <col min="14" max="14" width="13.42578125" style="10" customWidth="1"/>
    <col min="15" max="16" width="9.140625" style="10"/>
    <col min="17" max="17" width="14.28515625" style="10" customWidth="1"/>
    <col min="18" max="18" width="12.42578125" style="10" customWidth="1"/>
    <col min="19" max="19" width="14.42578125" style="10" customWidth="1"/>
    <col min="20" max="21" width="18.42578125" style="10" customWidth="1"/>
    <col min="22" max="22" width="15" style="10" customWidth="1"/>
    <col min="23" max="24" width="14.28515625" style="10" customWidth="1"/>
    <col min="25" max="26" width="18.7109375" style="10" customWidth="1"/>
    <col min="27" max="27" width="16.140625" style="10" customWidth="1"/>
    <col min="28" max="28" width="15" style="10" customWidth="1"/>
    <col min="29" max="29" width="18.7109375" style="10" customWidth="1"/>
    <col min="30" max="31" width="21.7109375" style="10" customWidth="1"/>
    <col min="32" max="32" width="12" style="10" bestFit="1" customWidth="1"/>
    <col min="33" max="33" width="9.140625" style="10"/>
    <col min="34" max="34" width="14.42578125" style="10" customWidth="1"/>
    <col min="35" max="36" width="19" style="10" customWidth="1"/>
    <col min="37" max="37" width="13.7109375" style="10" customWidth="1"/>
    <col min="38" max="38" width="12.42578125" style="10" customWidth="1"/>
    <col min="39" max="39" width="12.7109375" style="10" customWidth="1"/>
    <col min="40" max="41" width="18.28515625" style="10" customWidth="1"/>
    <col min="42" max="43" width="9.140625" style="10"/>
    <col min="44" max="44" width="15.28515625" style="10" customWidth="1"/>
    <col min="45" max="46" width="18.7109375" style="10" customWidth="1"/>
    <col min="47" max="47" width="14.85546875" style="10" customWidth="1"/>
    <col min="48" max="48" width="9.140625" style="10"/>
    <col min="49" max="49" width="14.28515625" style="10" customWidth="1"/>
    <col min="50" max="51" width="18.85546875" style="10" customWidth="1"/>
    <col min="52" max="53" width="9.140625" style="10"/>
    <col min="54" max="54" width="13.42578125" style="10" customWidth="1"/>
    <col min="55" max="58" width="18.140625" style="10" customWidth="1"/>
    <col min="59" max="59" width="16.5703125" style="10" customWidth="1"/>
    <col min="60" max="60" width="19.5703125" style="10" customWidth="1"/>
    <col min="61" max="16384" width="9.140625" style="10"/>
  </cols>
  <sheetData>
    <row r="3" spans="2:60" x14ac:dyDescent="0.25">
      <c r="B3" s="15"/>
      <c r="C3" s="15"/>
      <c r="D3" s="15"/>
      <c r="E3" s="15"/>
      <c r="F3" s="9">
        <v>0.41875000000000001</v>
      </c>
      <c r="G3" s="9"/>
      <c r="H3" s="9"/>
      <c r="I3" s="9"/>
      <c r="J3" s="9"/>
      <c r="K3" s="9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2:60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21" t="s">
        <v>72</v>
      </c>
      <c r="M4" s="21"/>
      <c r="N4" s="21"/>
      <c r="O4" s="21"/>
      <c r="P4" s="21"/>
      <c r="Q4" s="21" t="s">
        <v>119</v>
      </c>
      <c r="R4" s="21"/>
      <c r="S4" s="21"/>
      <c r="T4" s="21"/>
      <c r="U4" s="21"/>
      <c r="V4" s="21" t="s">
        <v>80</v>
      </c>
      <c r="W4" s="21"/>
      <c r="X4" s="21"/>
      <c r="Y4" s="21"/>
      <c r="Z4" s="21"/>
      <c r="AA4" s="21" t="s">
        <v>81</v>
      </c>
      <c r="AB4" s="21"/>
      <c r="AC4" s="21"/>
      <c r="AD4" s="21"/>
      <c r="AE4" s="21"/>
      <c r="AF4" s="21" t="s">
        <v>82</v>
      </c>
      <c r="AG4" s="21"/>
      <c r="AH4" s="21"/>
      <c r="AI4" s="21"/>
      <c r="AJ4" s="15"/>
      <c r="AK4" s="21" t="s">
        <v>83</v>
      </c>
      <c r="AL4" s="21"/>
      <c r="AM4" s="21"/>
      <c r="AN4" s="21"/>
      <c r="AO4" s="21"/>
      <c r="AP4" s="21" t="s">
        <v>84</v>
      </c>
      <c r="AQ4" s="21"/>
      <c r="AR4" s="21"/>
      <c r="AS4" s="21"/>
      <c r="AT4" s="21"/>
      <c r="AU4" s="21" t="s">
        <v>85</v>
      </c>
      <c r="AV4" s="21"/>
      <c r="AW4" s="21"/>
      <c r="AX4" s="21"/>
      <c r="AY4" s="21"/>
      <c r="AZ4" s="21" t="s">
        <v>86</v>
      </c>
      <c r="BA4" s="21"/>
      <c r="BB4" s="21"/>
      <c r="BC4" s="21"/>
      <c r="BD4" s="21"/>
      <c r="BE4" s="15"/>
      <c r="BF4" s="15"/>
      <c r="BG4" s="21" t="s">
        <v>87</v>
      </c>
      <c r="BH4" s="21"/>
    </row>
    <row r="5" spans="2:60" x14ac:dyDescent="0.25">
      <c r="B5" s="15" t="s">
        <v>33</v>
      </c>
      <c r="C5" s="15" t="s">
        <v>39</v>
      </c>
      <c r="D5" s="15" t="s">
        <v>71</v>
      </c>
      <c r="E5" s="15" t="s">
        <v>70</v>
      </c>
      <c r="F5" s="15" t="s">
        <v>69</v>
      </c>
      <c r="G5" s="15" t="s">
        <v>73</v>
      </c>
      <c r="H5" s="15" t="s">
        <v>74</v>
      </c>
      <c r="I5" s="15" t="s">
        <v>75</v>
      </c>
      <c r="J5" s="15" t="s">
        <v>76</v>
      </c>
      <c r="K5" s="15" t="s">
        <v>77</v>
      </c>
      <c r="L5" s="15" t="s">
        <v>35</v>
      </c>
      <c r="M5" s="15" t="s">
        <v>38</v>
      </c>
      <c r="N5" s="15" t="s">
        <v>37</v>
      </c>
      <c r="O5" s="15" t="s">
        <v>36</v>
      </c>
      <c r="P5" s="15" t="s">
        <v>118</v>
      </c>
      <c r="Q5" s="15" t="s">
        <v>35</v>
      </c>
      <c r="R5" s="15" t="s">
        <v>38</v>
      </c>
      <c r="S5" s="15" t="s">
        <v>78</v>
      </c>
      <c r="T5" s="15" t="s">
        <v>79</v>
      </c>
      <c r="U5" s="15" t="s">
        <v>118</v>
      </c>
      <c r="V5" s="15" t="s">
        <v>35</v>
      </c>
      <c r="W5" s="15" t="s">
        <v>38</v>
      </c>
      <c r="X5" s="15" t="s">
        <v>78</v>
      </c>
      <c r="Y5" s="15" t="s">
        <v>79</v>
      </c>
      <c r="Z5" s="15" t="s">
        <v>118</v>
      </c>
      <c r="AA5" s="15" t="s">
        <v>35</v>
      </c>
      <c r="AB5" s="15" t="s">
        <v>38</v>
      </c>
      <c r="AC5" s="15" t="s">
        <v>78</v>
      </c>
      <c r="AD5" s="15" t="s">
        <v>79</v>
      </c>
      <c r="AE5" s="15" t="s">
        <v>118</v>
      </c>
      <c r="AF5" s="15" t="s">
        <v>35</v>
      </c>
      <c r="AG5" s="15" t="s">
        <v>38</v>
      </c>
      <c r="AH5" s="15" t="s">
        <v>78</v>
      </c>
      <c r="AI5" s="15" t="s">
        <v>79</v>
      </c>
      <c r="AJ5" s="15" t="s">
        <v>118</v>
      </c>
      <c r="AK5" s="15" t="s">
        <v>35</v>
      </c>
      <c r="AL5" s="15" t="s">
        <v>38</v>
      </c>
      <c r="AM5" s="15" t="s">
        <v>78</v>
      </c>
      <c r="AN5" s="15" t="s">
        <v>79</v>
      </c>
      <c r="AO5" s="15" t="s">
        <v>118</v>
      </c>
      <c r="AP5" s="15" t="s">
        <v>35</v>
      </c>
      <c r="AQ5" s="15" t="s">
        <v>38</v>
      </c>
      <c r="AR5" s="15" t="s">
        <v>78</v>
      </c>
      <c r="AS5" s="15" t="s">
        <v>79</v>
      </c>
      <c r="AT5" s="15" t="s">
        <v>118</v>
      </c>
      <c r="AU5" s="15" t="s">
        <v>35</v>
      </c>
      <c r="AV5" s="15" t="s">
        <v>38</v>
      </c>
      <c r="AW5" s="15" t="s">
        <v>78</v>
      </c>
      <c r="AX5" s="15" t="s">
        <v>79</v>
      </c>
      <c r="AY5" s="15" t="s">
        <v>118</v>
      </c>
      <c r="AZ5" s="15" t="s">
        <v>35</v>
      </c>
      <c r="BA5" s="15" t="s">
        <v>38</v>
      </c>
      <c r="BB5" s="15" t="s">
        <v>78</v>
      </c>
      <c r="BC5" s="15" t="s">
        <v>79</v>
      </c>
      <c r="BD5" s="15" t="s">
        <v>118</v>
      </c>
      <c r="BE5" s="15"/>
      <c r="BF5" s="15"/>
      <c r="BG5" s="10" t="s">
        <v>71</v>
      </c>
      <c r="BH5" s="15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0.41319444444444442</v>
      </c>
      <c r="G6" s="8">
        <v>9.9640000000000004</v>
      </c>
      <c r="H6" s="8">
        <v>18.8583</v>
      </c>
      <c r="I6" s="8">
        <v>15.0175</v>
      </c>
      <c r="J6" s="8">
        <f>H6-I6</f>
        <v>3.8407999999999998</v>
      </c>
      <c r="K6" s="8">
        <f>I6-G6</f>
        <v>5.0534999999999997</v>
      </c>
      <c r="L6" s="13">
        <v>199127</v>
      </c>
      <c r="M6" s="13">
        <v>40320</v>
      </c>
      <c r="N6" s="13">
        <v>5943287</v>
      </c>
      <c r="O6" s="13">
        <v>147834</v>
      </c>
      <c r="P6" s="13">
        <v>2774738</v>
      </c>
      <c r="Q6" s="5">
        <f>(L6+41130)/9817.1</f>
        <v>24.473316967332511</v>
      </c>
      <c r="R6" s="5">
        <f>(M6-895.67)/4.4253</f>
        <v>8908.8491175739509</v>
      </c>
      <c r="S6" s="5">
        <f>(N6-135841)/69413</f>
        <v>83.665105959978675</v>
      </c>
      <c r="T6" s="5">
        <f t="shared" ref="T6:T37" si="0">(4*10^-9*O6)+0.0001</f>
        <v>6.9133600000000008E-4</v>
      </c>
      <c r="U6" s="5">
        <f>(P6+4076.7)/5248.6</f>
        <v>529.4392218877415</v>
      </c>
      <c r="V6" s="5">
        <f>Q6/1000*1.2381</f>
        <v>3.0300413737254381E-2</v>
      </c>
      <c r="W6" s="5">
        <f>R6/1000*1.64^-1</f>
        <v>5.4322250716914331</v>
      </c>
      <c r="X6" s="5">
        <f>S6/1000*1.8084</f>
        <v>0.15129997761802544</v>
      </c>
      <c r="Y6" s="5">
        <f>T6/1000*6.0383</f>
        <v>4.1744941688000002E-6</v>
      </c>
      <c r="Z6" s="5">
        <f>U6/1000*6.57*10^-1</f>
        <v>0.34784156878024619</v>
      </c>
      <c r="AA6" s="5">
        <f>(Q6/1000000)*0.0019*30.07*1000</f>
        <v>1.3982340182946084E-3</v>
      </c>
      <c r="AB6" s="5">
        <f>(R6/1000000)*0.00037*4*1000</f>
        <v>1.3185096694009446E-2</v>
      </c>
      <c r="AC6" s="5">
        <f>(S6/1000000)*0.0245*44.01*1000</f>
        <v>9.0211482175817204E-2</v>
      </c>
      <c r="AD6" s="5">
        <f>(T6/1000000)*0.00024*146.06*1000</f>
        <v>2.4234368678400005E-8</v>
      </c>
      <c r="AE6" s="5">
        <f>(U6/1000000)*0.0015*16.04*1000</f>
        <v>1.2738307678619061E-2</v>
      </c>
      <c r="AF6" s="5">
        <f>(V6*J6/1000)+(AA6*K6/1000)</f>
        <v>1.2344380469349843E-4</v>
      </c>
      <c r="AG6" s="5">
        <f>(W6*J6/1000)+(AB6*K6/1000)</f>
        <v>2.0930720941495635E-2</v>
      </c>
      <c r="AH6" s="5">
        <f>(X6*J6/1000)+(AC6*K6/1000)</f>
        <v>1.0369966792108042E-3</v>
      </c>
      <c r="AI6" s="5">
        <f>(Y6*J6/1000)+(AD6*K6/1000)</f>
        <v>1.6155865585643337E-8</v>
      </c>
      <c r="AJ6" s="5">
        <f>(Z6*J6/1000)+(AE6*K6/1000)</f>
        <v>1.4003629352250708E-3</v>
      </c>
      <c r="AK6" s="5">
        <f>AF6/K6*1000</f>
        <v>2.4427387888294932E-2</v>
      </c>
      <c r="AL6" s="5">
        <f>AG6/K6*1000</f>
        <v>4.1418266432167083</v>
      </c>
      <c r="AM6" s="5">
        <f>AH6/K6*1000</f>
        <v>0.20520365671530708</v>
      </c>
      <c r="AN6" s="5">
        <f>AI6/K6*1000</f>
        <v>3.1969655853652593E-6</v>
      </c>
      <c r="AO6" s="5">
        <f>AJ6/K6*1000</f>
        <v>0.27710753640547559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0.4145833333333333</v>
      </c>
      <c r="G7" s="8">
        <v>9.8521999999999998</v>
      </c>
      <c r="H7" s="8">
        <v>18.687899999999999</v>
      </c>
      <c r="I7" s="8">
        <v>14.433400000000001</v>
      </c>
      <c r="J7" s="8">
        <f t="shared" ref="J7:J37" si="1">H7-I7</f>
        <v>4.2544999999999984</v>
      </c>
      <c r="K7" s="8">
        <f t="shared" ref="K7:K37" si="2">I7-G7</f>
        <v>4.5812000000000008</v>
      </c>
      <c r="L7" s="13">
        <v>174388</v>
      </c>
      <c r="M7" s="13">
        <v>34013</v>
      </c>
      <c r="N7" s="13">
        <v>5447324</v>
      </c>
      <c r="O7" s="13">
        <v>125012</v>
      </c>
      <c r="P7" s="13">
        <v>2404852</v>
      </c>
      <c r="Q7" s="5">
        <f t="shared" ref="Q7:Q37" si="3">(L7+41130)/9817.1</f>
        <v>21.953326338735472</v>
      </c>
      <c r="R7" s="5">
        <f t="shared" ref="R7:R37" si="4">(M7-895.67)/4.4253</f>
        <v>7483.6350077960824</v>
      </c>
      <c r="S7" s="5">
        <f t="shared" ref="S7:S37" si="5">(N7-135841)/69413</f>
        <v>76.520003457565579</v>
      </c>
      <c r="T7" s="5">
        <f t="shared" si="0"/>
        <v>6.0004800000000005E-4</v>
      </c>
      <c r="U7" s="5">
        <f t="shared" ref="U7:U37" si="6">(P7+4076.7)/5248.6</f>
        <v>458.96595282551539</v>
      </c>
      <c r="V7" s="5">
        <f t="shared" ref="V7:V37" si="7">Q7/1000*1.2381</f>
        <v>2.7180413339988389E-2</v>
      </c>
      <c r="W7" s="5">
        <f t="shared" ref="W7:W37" si="8">R7/1000*1.64^-1</f>
        <v>4.5631920779244401</v>
      </c>
      <c r="X7" s="5">
        <f t="shared" ref="X7:X37" si="9">S7/1000*1.8084</f>
        <v>0.1383787742526616</v>
      </c>
      <c r="Y7" s="5">
        <f t="shared" ref="Y7:Y37" si="10">T7/1000*6.0383</f>
        <v>3.6232698384E-6</v>
      </c>
      <c r="Z7" s="5">
        <f t="shared" ref="Z7:Z37" si="11">U7/1000*6.57*10^-1</f>
        <v>0.30154063100636364</v>
      </c>
      <c r="AA7" s="5">
        <f t="shared" ref="AA7:AA37" si="12">(Q7/1000000)*0.0019*30.07*1000</f>
        <v>1.2542593937109737E-3</v>
      </c>
      <c r="AB7" s="5">
        <f t="shared" ref="AB7:AB37" si="13">(R7/1000000)*0.00037*4*1000</f>
        <v>1.1075779811538202E-2</v>
      </c>
      <c r="AC7" s="5">
        <f t="shared" ref="AC7:AC37" si="14">(S7/1000000)*0.0245*44.01*1000</f>
        <v>8.2507311128102806E-2</v>
      </c>
      <c r="AD7" s="5">
        <f t="shared" ref="AD7:AD37" si="15">(T7/1000000)*0.00024*146.06*1000</f>
        <v>2.1034322611200004E-8</v>
      </c>
      <c r="AE7" s="5">
        <f t="shared" ref="AE7:AE37" si="16">(U7/1000000)*0.0015*16.04*1000</f>
        <v>1.1042720824981899E-2</v>
      </c>
      <c r="AF7" s="5">
        <f t="shared" ref="AF7:AF37" si="17">(V7*J7/1000)+(AA7*K7/1000)</f>
        <v>1.2138508168944928E-4</v>
      </c>
      <c r="AG7" s="5">
        <f t="shared" ref="AG7:AG37" si="18">(W7*J7/1000)+(AB7*K7/1000)</f>
        <v>1.9464841058002141E-2</v>
      </c>
      <c r="AH7" s="5">
        <f t="shared" ref="AH7:AH37" si="19">(X7*J7/1000)+(AC7*K7/1000)</f>
        <v>9.6671498879801311E-4</v>
      </c>
      <c r="AI7" s="5">
        <f t="shared" ref="AI7:AI37" si="20">(Y7*J7/1000)+(AD7*K7/1000)</f>
        <v>1.5511563966219224E-8</v>
      </c>
      <c r="AJ7" s="5">
        <f t="shared" ref="AJ7:AJ37" si="21">(Z7*J7/1000)+(AE7*K7/1000)</f>
        <v>1.3334935272599807E-3</v>
      </c>
      <c r="AK7" s="5">
        <f t="shared" ref="AK7:AK37" si="22">AF7/K7*1000</f>
        <v>2.6496350670009876E-2</v>
      </c>
      <c r="AL7" s="5">
        <f t="shared" ref="AL7:AL37" si="23">AG7/K7*1000</f>
        <v>4.2488520601593764</v>
      </c>
      <c r="AM7" s="5">
        <f t="shared" ref="AM7:AM37" si="24">AH7/K7*1000</f>
        <v>0.21101785313848181</v>
      </c>
      <c r="AN7" s="5">
        <f t="shared" ref="AN7:AN37" si="25">AI7/K7*1000</f>
        <v>3.3859172195536588E-6</v>
      </c>
      <c r="AO7" s="5">
        <f t="shared" ref="AO7:AO37" si="26">AJ7/K7*1000</f>
        <v>0.29107952660001318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0.4152777777777778</v>
      </c>
      <c r="G8" s="8">
        <v>9.8811</v>
      </c>
      <c r="H8" s="8">
        <v>18.871500000000001</v>
      </c>
      <c r="I8" s="8">
        <v>14.5886</v>
      </c>
      <c r="J8" s="8">
        <f t="shared" si="1"/>
        <v>4.2829000000000015</v>
      </c>
      <c r="K8" s="8">
        <f t="shared" si="2"/>
        <v>4.7074999999999996</v>
      </c>
      <c r="L8" s="13">
        <v>186900</v>
      </c>
      <c r="M8" s="13">
        <v>36218</v>
      </c>
      <c r="N8" s="13">
        <v>5629073</v>
      </c>
      <c r="O8" s="13">
        <v>137641</v>
      </c>
      <c r="P8" s="13">
        <v>2565399</v>
      </c>
      <c r="Q8" s="5">
        <f t="shared" si="3"/>
        <v>23.227837141314644</v>
      </c>
      <c r="R8" s="5">
        <f t="shared" si="4"/>
        <v>7981.9063114365135</v>
      </c>
      <c r="S8" s="5">
        <f t="shared" si="5"/>
        <v>79.138374656044263</v>
      </c>
      <c r="T8" s="5">
        <f t="shared" si="0"/>
        <v>6.5056400000000007E-4</v>
      </c>
      <c r="U8" s="5">
        <f t="shared" si="6"/>
        <v>489.55449072133524</v>
      </c>
      <c r="V8" s="5">
        <f t="shared" si="7"/>
        <v>2.875838516466166E-2</v>
      </c>
      <c r="W8" s="5">
        <f t="shared" si="8"/>
        <v>4.8670160435588494</v>
      </c>
      <c r="X8" s="5">
        <f t="shared" si="9"/>
        <v>0.14311383672799044</v>
      </c>
      <c r="Y8" s="5">
        <f t="shared" si="10"/>
        <v>3.9283006011999998E-6</v>
      </c>
      <c r="Z8" s="5">
        <f t="shared" si="11"/>
        <v>0.32163730040391725</v>
      </c>
      <c r="AA8" s="5">
        <f t="shared" si="12"/>
        <v>1.3270760193947295E-3</v>
      </c>
      <c r="AB8" s="5">
        <f t="shared" si="13"/>
        <v>1.1813221340926041E-2</v>
      </c>
      <c r="AC8" s="5">
        <f t="shared" si="14"/>
        <v>8.5330556781006456E-2</v>
      </c>
      <c r="AD8" s="5">
        <f t="shared" si="15"/>
        <v>2.2805130681600004E-8</v>
      </c>
      <c r="AE8" s="5">
        <f t="shared" si="16"/>
        <v>1.1778681046755324E-2</v>
      </c>
      <c r="AF8" s="5">
        <f t="shared" si="17"/>
        <v>1.2941649818303016E-4</v>
      </c>
      <c r="AG8" s="5">
        <f t="shared" si="18"/>
        <v>2.0900553752420614E-2</v>
      </c>
      <c r="AH8" s="5">
        <f t="shared" si="19"/>
        <v>1.0146358473688984E-3</v>
      </c>
      <c r="AI8" s="5">
        <f t="shared" si="20"/>
        <v>1.6931873797563114E-8</v>
      </c>
      <c r="AJ8" s="5">
        <f t="shared" si="21"/>
        <v>1.4329885349275385E-3</v>
      </c>
      <c r="AK8" s="5">
        <f t="shared" si="22"/>
        <v>2.7491555641642098E-2</v>
      </c>
      <c r="AL8" s="5">
        <f t="shared" si="23"/>
        <v>4.4398414768817025</v>
      </c>
      <c r="AM8" s="5">
        <f t="shared" si="24"/>
        <v>0.21553602705659022</v>
      </c>
      <c r="AN8" s="5">
        <f t="shared" si="25"/>
        <v>3.5967867865242945E-6</v>
      </c>
      <c r="AO8" s="5">
        <f t="shared" si="26"/>
        <v>0.30440542430749623</v>
      </c>
      <c r="AP8" s="5"/>
      <c r="AQ8" s="5"/>
      <c r="AR8" s="5"/>
      <c r="AS8" s="5"/>
      <c r="AT8" s="5"/>
      <c r="BF8" s="5"/>
    </row>
    <row r="9" spans="2:60" x14ac:dyDescent="0.25">
      <c r="B9" s="10" t="s">
        <v>92</v>
      </c>
      <c r="C9" s="15" t="s">
        <v>49</v>
      </c>
      <c r="D9" s="15"/>
      <c r="E9" s="15"/>
      <c r="F9" s="9">
        <v>0.39444444444444443</v>
      </c>
      <c r="G9" s="11">
        <v>10.036</v>
      </c>
      <c r="H9" s="11">
        <v>18.8612</v>
      </c>
      <c r="I9" s="11">
        <v>13.9755</v>
      </c>
      <c r="J9" s="11">
        <f t="shared" si="1"/>
        <v>4.8856999999999999</v>
      </c>
      <c r="K9" s="11">
        <f t="shared" si="2"/>
        <v>3.9395000000000007</v>
      </c>
      <c r="L9" s="19" t="s">
        <v>1</v>
      </c>
      <c r="M9" s="20" t="s">
        <v>1</v>
      </c>
      <c r="N9" s="16">
        <v>301807</v>
      </c>
      <c r="O9" s="17" t="s">
        <v>1</v>
      </c>
      <c r="P9" s="18">
        <v>5286</v>
      </c>
      <c r="Q9" s="15">
        <v>0</v>
      </c>
      <c r="R9" s="15">
        <v>0</v>
      </c>
      <c r="S9" s="15">
        <f t="shared" si="5"/>
        <v>2.3909930416492586</v>
      </c>
      <c r="T9" s="15">
        <v>0</v>
      </c>
      <c r="U9" s="15">
        <f t="shared" si="6"/>
        <v>1.7838471211370652</v>
      </c>
      <c r="V9" s="15">
        <f t="shared" si="7"/>
        <v>0</v>
      </c>
      <c r="W9" s="15">
        <f t="shared" si="8"/>
        <v>0</v>
      </c>
      <c r="X9" s="15">
        <f t="shared" si="9"/>
        <v>4.3238718165185194E-3</v>
      </c>
      <c r="Y9" s="15">
        <f t="shared" si="10"/>
        <v>0</v>
      </c>
      <c r="Z9" s="15">
        <f t="shared" si="11"/>
        <v>1.171987558587052E-3</v>
      </c>
      <c r="AA9" s="15">
        <f t="shared" si="12"/>
        <v>0</v>
      </c>
      <c r="AB9" s="15">
        <f t="shared" si="13"/>
        <v>0</v>
      </c>
      <c r="AC9" s="15">
        <f t="shared" si="14"/>
        <v>2.5780762921931047E-3</v>
      </c>
      <c r="AD9" s="15">
        <f t="shared" si="15"/>
        <v>0</v>
      </c>
      <c r="AE9" s="15">
        <f t="shared" si="16"/>
        <v>4.2919361734557788E-5</v>
      </c>
      <c r="AF9" s="15">
        <f t="shared" si="17"/>
        <v>0</v>
      </c>
      <c r="AG9" s="15">
        <f t="shared" si="18"/>
        <v>0</v>
      </c>
      <c r="AH9" s="15">
        <f t="shared" si="19"/>
        <v>3.1281472087059265E-5</v>
      </c>
      <c r="AI9" s="15">
        <f t="shared" si="20"/>
        <v>0</v>
      </c>
      <c r="AJ9" s="15">
        <f t="shared" si="21"/>
        <v>5.8950604405420504E-6</v>
      </c>
      <c r="AK9" s="15">
        <f t="shared" si="22"/>
        <v>0</v>
      </c>
      <c r="AL9" s="15">
        <f t="shared" si="23"/>
        <v>0</v>
      </c>
      <c r="AM9" s="15">
        <f t="shared" si="24"/>
        <v>7.9404675941259703E-3</v>
      </c>
      <c r="AN9" s="15">
        <f t="shared" si="25"/>
        <v>0</v>
      </c>
      <c r="AO9" s="15">
        <f t="shared" si="26"/>
        <v>1.4963981318802002E-3</v>
      </c>
      <c r="AP9" s="15"/>
      <c r="AQ9" s="15"/>
      <c r="AR9" s="15"/>
      <c r="AS9" s="15"/>
      <c r="AT9" s="15"/>
      <c r="AU9" s="10">
        <f>AVERAGE(AK6:AK8)</f>
        <v>2.6138431399982301E-2</v>
      </c>
      <c r="AV9" s="10">
        <f t="shared" ref="AV9:AY9" si="27">AVERAGE(AL6:AL8)</f>
        <v>4.27684006008593</v>
      </c>
      <c r="AW9" s="10">
        <f t="shared" si="27"/>
        <v>0.21058584563679306</v>
      </c>
      <c r="AX9" s="10">
        <f t="shared" si="27"/>
        <v>3.3932231971477375E-6</v>
      </c>
      <c r="AY9" s="10">
        <f t="shared" si="27"/>
        <v>0.29086416243766172</v>
      </c>
      <c r="BF9" s="15"/>
    </row>
    <row r="10" spans="2:60" x14ac:dyDescent="0.25">
      <c r="B10" s="10" t="s">
        <v>93</v>
      </c>
      <c r="C10" s="15" t="s">
        <v>120</v>
      </c>
      <c r="D10" s="15"/>
      <c r="E10" s="15"/>
      <c r="F10" s="9">
        <v>0.39513888888888887</v>
      </c>
      <c r="G10" s="11">
        <v>10.014799999999999</v>
      </c>
      <c r="H10" s="11">
        <v>19.074100000000001</v>
      </c>
      <c r="I10" s="11">
        <v>14.105</v>
      </c>
      <c r="J10" s="11">
        <f t="shared" si="1"/>
        <v>4.969100000000001</v>
      </c>
      <c r="K10" s="11">
        <f t="shared" si="2"/>
        <v>4.0902000000000012</v>
      </c>
      <c r="L10" s="19" t="s">
        <v>1</v>
      </c>
      <c r="M10" s="20" t="s">
        <v>1</v>
      </c>
      <c r="N10" s="16">
        <v>286432</v>
      </c>
      <c r="O10" s="17" t="s">
        <v>1</v>
      </c>
      <c r="P10" s="18">
        <v>5267</v>
      </c>
      <c r="Q10" s="15">
        <v>0</v>
      </c>
      <c r="R10" s="15">
        <v>0</v>
      </c>
      <c r="S10" s="15">
        <f t="shared" si="5"/>
        <v>2.1694927463155316</v>
      </c>
      <c r="T10" s="15">
        <v>0</v>
      </c>
      <c r="U10" s="15">
        <f t="shared" si="6"/>
        <v>1.7802271081812293</v>
      </c>
      <c r="V10" s="15">
        <f t="shared" si="7"/>
        <v>0</v>
      </c>
      <c r="W10" s="15">
        <f t="shared" si="8"/>
        <v>0</v>
      </c>
      <c r="X10" s="15">
        <f t="shared" si="9"/>
        <v>3.9233106824370072E-3</v>
      </c>
      <c r="Y10" s="15">
        <f t="shared" si="10"/>
        <v>0</v>
      </c>
      <c r="Z10" s="15">
        <f t="shared" si="11"/>
        <v>1.1696092100750676E-3</v>
      </c>
      <c r="AA10" s="15">
        <f t="shared" si="12"/>
        <v>0</v>
      </c>
      <c r="AB10" s="15">
        <f t="shared" si="13"/>
        <v>0</v>
      </c>
      <c r="AC10" s="15">
        <f t="shared" si="14"/>
        <v>2.3392447062509903E-3</v>
      </c>
      <c r="AD10" s="15">
        <f t="shared" si="15"/>
        <v>0</v>
      </c>
      <c r="AE10" s="15">
        <f t="shared" si="16"/>
        <v>4.283226422284037E-5</v>
      </c>
      <c r="AF10" s="15">
        <f t="shared" si="17"/>
        <v>0</v>
      </c>
      <c r="AG10" s="15">
        <f t="shared" si="18"/>
        <v>0</v>
      </c>
      <c r="AH10" s="15">
        <f t="shared" si="19"/>
        <v>2.9063301809605536E-5</v>
      </c>
      <c r="AI10" s="15">
        <f t="shared" si="20"/>
        <v>0</v>
      </c>
      <c r="AJ10" s="15">
        <f t="shared" si="21"/>
        <v>5.9870976529082812E-6</v>
      </c>
      <c r="AK10" s="15">
        <f t="shared" si="22"/>
        <v>0</v>
      </c>
      <c r="AL10" s="15">
        <f t="shared" si="23"/>
        <v>0</v>
      </c>
      <c r="AM10" s="15">
        <f t="shared" si="24"/>
        <v>7.1055943009157322E-3</v>
      </c>
      <c r="AN10" s="15">
        <f t="shared" si="25"/>
        <v>0</v>
      </c>
      <c r="AO10" s="15">
        <f t="shared" si="26"/>
        <v>1.4637664791228495E-3</v>
      </c>
      <c r="AP10" s="15"/>
      <c r="AQ10" s="15"/>
      <c r="AR10" s="15"/>
      <c r="AS10" s="15"/>
      <c r="AT10" s="15"/>
      <c r="BF10" s="15"/>
    </row>
    <row r="11" spans="2:60" x14ac:dyDescent="0.25">
      <c r="B11" s="10" t="s">
        <v>94</v>
      </c>
      <c r="C11" s="15" t="s">
        <v>121</v>
      </c>
      <c r="D11" s="15"/>
      <c r="E11" s="15"/>
      <c r="F11" s="9">
        <v>0.39652777777777781</v>
      </c>
      <c r="G11" s="11">
        <v>9.9818999999999996</v>
      </c>
      <c r="H11" s="11">
        <v>18.834199999999999</v>
      </c>
      <c r="I11" s="11">
        <v>13.904500000000001</v>
      </c>
      <c r="J11" s="11">
        <f t="shared" si="1"/>
        <v>4.9296999999999986</v>
      </c>
      <c r="K11" s="11">
        <f t="shared" si="2"/>
        <v>3.922600000000001</v>
      </c>
      <c r="L11" s="19" t="s">
        <v>1</v>
      </c>
      <c r="M11" s="20" t="s">
        <v>1</v>
      </c>
      <c r="N11" s="16">
        <v>294060</v>
      </c>
      <c r="O11" s="17" t="s">
        <v>1</v>
      </c>
      <c r="P11" s="18">
        <v>6052</v>
      </c>
      <c r="Q11" s="15">
        <v>0</v>
      </c>
      <c r="R11" s="15">
        <v>0</v>
      </c>
      <c r="S11" s="15">
        <f t="shared" si="5"/>
        <v>2.2793857058476079</v>
      </c>
      <c r="T11" s="15">
        <v>0</v>
      </c>
      <c r="U11" s="15">
        <f t="shared" si="6"/>
        <v>1.9297908013565521</v>
      </c>
      <c r="V11" s="15">
        <f t="shared" si="7"/>
        <v>0</v>
      </c>
      <c r="W11" s="15">
        <f t="shared" si="8"/>
        <v>0</v>
      </c>
      <c r="X11" s="15">
        <f t="shared" si="9"/>
        <v>4.1220411104548145E-3</v>
      </c>
      <c r="Y11" s="15">
        <f t="shared" si="10"/>
        <v>0</v>
      </c>
      <c r="Z11" s="15">
        <f t="shared" si="11"/>
        <v>1.2678725564912547E-3</v>
      </c>
      <c r="AA11" s="15">
        <f t="shared" si="12"/>
        <v>0</v>
      </c>
      <c r="AB11" s="15">
        <f t="shared" si="13"/>
        <v>0</v>
      </c>
      <c r="AC11" s="15">
        <f t="shared" si="14"/>
        <v>2.4577362404016542E-3</v>
      </c>
      <c r="AD11" s="15">
        <f t="shared" si="15"/>
        <v>0</v>
      </c>
      <c r="AE11" s="15">
        <f t="shared" si="16"/>
        <v>4.6430766680638647E-5</v>
      </c>
      <c r="AF11" s="15">
        <f t="shared" si="17"/>
        <v>0</v>
      </c>
      <c r="AG11" s="15">
        <f t="shared" si="18"/>
        <v>0</v>
      </c>
      <c r="AH11" s="15">
        <f t="shared" si="19"/>
        <v>2.9961142238808625E-5</v>
      </c>
      <c r="AI11" s="15">
        <f t="shared" si="20"/>
        <v>0</v>
      </c>
      <c r="AJ11" s="15">
        <f t="shared" si="21"/>
        <v>6.4323606671164096E-6</v>
      </c>
      <c r="AK11" s="15">
        <f t="shared" si="22"/>
        <v>0</v>
      </c>
      <c r="AL11" s="15">
        <f t="shared" si="23"/>
        <v>0</v>
      </c>
      <c r="AM11" s="15">
        <f t="shared" si="24"/>
        <v>7.6380824552104779E-3</v>
      </c>
      <c r="AN11" s="15">
        <f t="shared" si="25"/>
        <v>0</v>
      </c>
      <c r="AO11" s="15">
        <f t="shared" si="26"/>
        <v>1.6398206972713016E-3</v>
      </c>
      <c r="AP11" s="15"/>
      <c r="AQ11" s="15"/>
      <c r="AR11" s="15"/>
      <c r="AS11" s="15"/>
      <c r="AT11" s="15"/>
      <c r="BF11" s="15"/>
    </row>
    <row r="12" spans="2:60" x14ac:dyDescent="0.25">
      <c r="B12" s="10" t="s">
        <v>95</v>
      </c>
      <c r="C12" s="15" t="s">
        <v>117</v>
      </c>
      <c r="D12" s="12">
        <f>E12*1440</f>
        <v>1.9999999999999929</v>
      </c>
      <c r="E12" s="9">
        <f>F12-$F$3</f>
        <v>1.388888888888884E-3</v>
      </c>
      <c r="F12" s="9">
        <v>0.4201388888888889</v>
      </c>
      <c r="G12" s="11">
        <v>9.8168000000000006</v>
      </c>
      <c r="H12" s="11">
        <v>18.865200000000002</v>
      </c>
      <c r="I12" s="11">
        <v>13.717700000000001</v>
      </c>
      <c r="J12" s="11">
        <f t="shared" si="1"/>
        <v>5.1475000000000009</v>
      </c>
      <c r="K12" s="11">
        <f t="shared" si="2"/>
        <v>3.9009</v>
      </c>
      <c r="L12" s="19" t="s">
        <v>1</v>
      </c>
      <c r="M12" s="20" t="s">
        <v>1</v>
      </c>
      <c r="N12" s="16">
        <v>290533</v>
      </c>
      <c r="O12" s="17" t="s">
        <v>1</v>
      </c>
      <c r="P12" s="18">
        <v>5484</v>
      </c>
      <c r="Q12" s="15">
        <v>0</v>
      </c>
      <c r="R12" s="15">
        <v>0</v>
      </c>
      <c r="S12" s="15">
        <f t="shared" si="5"/>
        <v>2.2285738982611325</v>
      </c>
      <c r="T12" s="15">
        <v>0</v>
      </c>
      <c r="U12" s="15">
        <f t="shared" si="6"/>
        <v>1.8215714666768281</v>
      </c>
      <c r="V12" s="15">
        <f t="shared" si="7"/>
        <v>0</v>
      </c>
      <c r="W12" s="15">
        <f t="shared" si="8"/>
        <v>0</v>
      </c>
      <c r="X12" s="15">
        <f t="shared" si="9"/>
        <v>4.0301530376154315E-3</v>
      </c>
      <c r="Y12" s="15">
        <f t="shared" si="10"/>
        <v>0</v>
      </c>
      <c r="Z12" s="15">
        <f t="shared" si="11"/>
        <v>1.1967724536066761E-3</v>
      </c>
      <c r="AA12" s="15">
        <f t="shared" si="12"/>
        <v>0</v>
      </c>
      <c r="AB12" s="15">
        <f t="shared" si="13"/>
        <v>0</v>
      </c>
      <c r="AC12" s="15">
        <f t="shared" si="14"/>
        <v>2.4029486629305744E-3</v>
      </c>
      <c r="AD12" s="15">
        <f t="shared" si="15"/>
        <v>0</v>
      </c>
      <c r="AE12" s="15">
        <f t="shared" si="16"/>
        <v>4.3827009488244479E-5</v>
      </c>
      <c r="AF12" s="15">
        <f t="shared" si="17"/>
        <v>0</v>
      </c>
      <c r="AG12" s="15">
        <f t="shared" si="18"/>
        <v>0</v>
      </c>
      <c r="AH12" s="15">
        <f t="shared" si="19"/>
        <v>3.0118875200351311E-5</v>
      </c>
      <c r="AI12" s="15">
        <f t="shared" si="20"/>
        <v>0</v>
      </c>
      <c r="AJ12" s="15">
        <f t="shared" si="21"/>
        <v>6.3313509862530595E-6</v>
      </c>
      <c r="AK12" s="15">
        <f t="shared" si="22"/>
        <v>0</v>
      </c>
      <c r="AL12" s="15">
        <f t="shared" si="23"/>
        <v>0</v>
      </c>
      <c r="AM12" s="15">
        <f t="shared" si="24"/>
        <v>7.7210067421239481E-3</v>
      </c>
      <c r="AN12" s="15">
        <f t="shared" si="25"/>
        <v>0</v>
      </c>
      <c r="AO12" s="15">
        <f t="shared" si="26"/>
        <v>1.6230487800899943E-3</v>
      </c>
      <c r="AP12" s="15">
        <f t="shared" ref="AP12:AP13" si="28">AK12-(AVERAGE($AK$9:$AK$11))</f>
        <v>0</v>
      </c>
      <c r="AQ12" s="15">
        <f t="shared" ref="AQ12:AQ37" si="29">IF(AL12-(AVERAGE($AL$9:$AL$11))&lt;0,0,AL12-(AVERAGE($AL$9:$AL$11)))</f>
        <v>0</v>
      </c>
      <c r="AR12" s="15">
        <f t="shared" ref="AR12:AR13" si="30">IF(AM12-(AVERAGE($AM$9:$AM$11))&lt;0,0,AM12-(AVERAGE($AM$9:$AM$11)))</f>
        <v>1.5962529203988798E-4</v>
      </c>
      <c r="AS12" s="15">
        <f t="shared" ref="AS12:AS37" si="31">IF(AN12-(AVERAGE($AN$9:$AN$11))&lt;0,0,AN12-(AVERAGE($AN$9:$AN$11)))</f>
        <v>0</v>
      </c>
      <c r="AT12" s="15">
        <f>IF(AO12-(AVERAGE($AO$9:$AO$11))&lt;0,0,AO12-(AVERAGE($AO$9:$AO$11)))</f>
        <v>8.972034399854379E-5</v>
      </c>
      <c r="AU12" s="10">
        <f>$AU$9+(($AU$21-$AU$9)/($D$21))*D12</f>
        <v>2.6106877334143193E-2</v>
      </c>
      <c r="AV12" s="10">
        <f>$AV$9+(($AV$21-$AV$9)/($D$21))*D12</f>
        <v>4.2664710518143352</v>
      </c>
      <c r="AW12" s="10">
        <f>$AW$9+(($AW$21-$AW$9)/($D$21))*D12</f>
        <v>0.21038051486396872</v>
      </c>
      <c r="AX12" s="10">
        <f>$AX$9+(($AX$21-$AX$9)/($D$21))*D12</f>
        <v>3.3972888086973022E-6</v>
      </c>
      <c r="AY12" s="10">
        <f>$AY$9+(($AY$21-$AY$9)/($D$21))*D12</f>
        <v>0.29072111227381703</v>
      </c>
      <c r="AZ12" s="10">
        <f t="shared" ref="AZ12:AZ16" si="32">AP12/AU12</f>
        <v>0</v>
      </c>
      <c r="BA12" s="10">
        <f t="shared" ref="BA12:BA16" si="33">AQ12/AV12</f>
        <v>0</v>
      </c>
      <c r="BB12" s="10">
        <f t="shared" ref="BB12:BB37" si="34">AR12/AW12</f>
        <v>7.5874560979709131E-4</v>
      </c>
      <c r="BC12" s="10">
        <f t="shared" ref="BC12" si="35">AS12/AX12</f>
        <v>0</v>
      </c>
      <c r="BD12" s="10">
        <f t="shared" ref="BD12:BD37" si="36">AT12/AY12</f>
        <v>3.0861310104661499E-4</v>
      </c>
      <c r="BG12" s="12">
        <v>1.9999999999999929</v>
      </c>
      <c r="BH12">
        <v>0</v>
      </c>
    </row>
    <row r="13" spans="2:60" x14ac:dyDescent="0.25">
      <c r="B13" s="10" t="s">
        <v>96</v>
      </c>
      <c r="C13" s="15" t="s">
        <v>117</v>
      </c>
      <c r="D13" s="12">
        <f t="shared" ref="D13:D37" si="37">E13*1440</f>
        <v>19.999999999999929</v>
      </c>
      <c r="E13" s="9">
        <f t="shared" ref="E13:E16" si="38">F13-$F$3</f>
        <v>1.388888888888884E-2</v>
      </c>
      <c r="F13" s="9">
        <v>0.43263888888888885</v>
      </c>
      <c r="G13" s="11">
        <v>9.9817999999999998</v>
      </c>
      <c r="H13" s="11">
        <v>18.845199999999998</v>
      </c>
      <c r="I13" s="11">
        <v>13.5265</v>
      </c>
      <c r="J13" s="11">
        <f t="shared" si="1"/>
        <v>5.318699999999998</v>
      </c>
      <c r="K13" s="11">
        <f t="shared" si="2"/>
        <v>3.5447000000000006</v>
      </c>
      <c r="L13" s="19" t="s">
        <v>1</v>
      </c>
      <c r="M13" s="20" t="s">
        <v>1</v>
      </c>
      <c r="N13" s="16">
        <v>281026</v>
      </c>
      <c r="O13" s="17" t="s">
        <v>1</v>
      </c>
      <c r="P13" s="18">
        <v>5809</v>
      </c>
      <c r="Q13" s="15">
        <v>0</v>
      </c>
      <c r="R13" s="15">
        <v>0</v>
      </c>
      <c r="S13" s="15">
        <f t="shared" si="5"/>
        <v>2.0916110814977023</v>
      </c>
      <c r="T13" s="15">
        <v>0</v>
      </c>
      <c r="U13" s="15">
        <f t="shared" si="6"/>
        <v>1.8834927409213886</v>
      </c>
      <c r="V13" s="15">
        <f t="shared" si="7"/>
        <v>0</v>
      </c>
      <c r="W13" s="15">
        <f t="shared" si="8"/>
        <v>0</v>
      </c>
      <c r="X13" s="15">
        <f t="shared" si="9"/>
        <v>3.7824694797804451E-3</v>
      </c>
      <c r="Y13" s="15">
        <f t="shared" si="10"/>
        <v>0</v>
      </c>
      <c r="Z13" s="15">
        <f t="shared" si="11"/>
        <v>1.2374547307853524E-3</v>
      </c>
      <c r="AA13" s="15">
        <f t="shared" si="12"/>
        <v>0</v>
      </c>
      <c r="AB13" s="15">
        <f t="shared" si="13"/>
        <v>0</v>
      </c>
      <c r="AC13" s="15">
        <f t="shared" si="14"/>
        <v>2.2552691905694906E-3</v>
      </c>
      <c r="AD13" s="15">
        <f t="shared" si="15"/>
        <v>0</v>
      </c>
      <c r="AE13" s="15">
        <f t="shared" si="16"/>
        <v>4.5316835346568608E-5</v>
      </c>
      <c r="AF13" s="15">
        <f t="shared" si="17"/>
        <v>0</v>
      </c>
      <c r="AG13" s="15">
        <f t="shared" si="18"/>
        <v>0</v>
      </c>
      <c r="AH13" s="15">
        <f t="shared" si="19"/>
        <v>2.8112073121919921E-5</v>
      </c>
      <c r="AI13" s="15">
        <f t="shared" si="20"/>
        <v>0</v>
      </c>
      <c r="AJ13" s="15">
        <f t="shared" si="21"/>
        <v>6.7422850628810329E-6</v>
      </c>
      <c r="AK13" s="15">
        <f t="shared" si="22"/>
        <v>0</v>
      </c>
      <c r="AL13" s="15">
        <f t="shared" si="23"/>
        <v>0</v>
      </c>
      <c r="AM13" s="15">
        <f t="shared" si="24"/>
        <v>7.9307340880525618E-3</v>
      </c>
      <c r="AN13" s="15">
        <f t="shared" si="25"/>
        <v>0</v>
      </c>
      <c r="AO13" s="15">
        <f t="shared" si="26"/>
        <v>1.9020749465063422E-3</v>
      </c>
      <c r="AP13" s="15">
        <f t="shared" si="28"/>
        <v>0</v>
      </c>
      <c r="AQ13" s="15">
        <f t="shared" si="29"/>
        <v>0</v>
      </c>
      <c r="AR13" s="15">
        <f t="shared" si="30"/>
        <v>3.6935263796850169E-4</v>
      </c>
      <c r="AS13" s="15">
        <f t="shared" si="31"/>
        <v>0</v>
      </c>
      <c r="AT13" s="15">
        <f t="shared" ref="AT13:AT19" si="39">IF(AO13-(AVERAGE($AO$9:$AO$11))&lt;0,0,AO13-(AVERAGE($AO$9:$AO$11)))</f>
        <v>3.6874651041489165E-4</v>
      </c>
      <c r="AU13" s="10">
        <f t="shared" ref="AU13:AU20" si="40">$AU$9+(($AU$21-$AU$9)/($D$21))*D13</f>
        <v>2.582289074159122E-2</v>
      </c>
      <c r="AV13" s="10">
        <f t="shared" ref="AV13:AV20" si="41">$AV$9+(($AV$21-$AV$9)/($D$21))*D13</f>
        <v>4.1731499773699854</v>
      </c>
      <c r="AW13" s="10">
        <f t="shared" ref="AW13:AW20" si="42">$AW$9+(($AW$21-$AW$9)/($D$21))*D13</f>
        <v>0.20853253790854964</v>
      </c>
      <c r="AX13" s="10">
        <f t="shared" ref="AX13:AX20" si="43">$AX$9+(($AX$21-$AX$9)/($D$21))*D13</f>
        <v>3.4338793126433857E-6</v>
      </c>
      <c r="AY13" s="10">
        <f t="shared" ref="AY13:AY20" si="44">$AY$9+(($AY$21-$AY$9)/($D$21))*D13</f>
        <v>0.28943366079921479</v>
      </c>
      <c r="AZ13" s="10">
        <f t="shared" si="32"/>
        <v>0</v>
      </c>
      <c r="BA13" s="10">
        <f t="shared" si="33"/>
        <v>0</v>
      </c>
      <c r="BB13" s="10">
        <f t="shared" si="34"/>
        <v>1.7711990736451809E-3</v>
      </c>
      <c r="BC13" s="10">
        <f t="shared" ref="BC13:BC28" si="45">AS13/AX13</f>
        <v>0</v>
      </c>
      <c r="BD13" s="10">
        <f t="shared" si="36"/>
        <v>1.2740277319392287E-3</v>
      </c>
      <c r="BF13" s="15"/>
      <c r="BG13" s="12">
        <v>11</v>
      </c>
      <c r="BH13">
        <v>0</v>
      </c>
    </row>
    <row r="14" spans="2:60" x14ac:dyDescent="0.25">
      <c r="B14" s="10" t="s">
        <v>97</v>
      </c>
      <c r="C14" s="15" t="s">
        <v>117</v>
      </c>
      <c r="D14" s="12">
        <f t="shared" si="37"/>
        <v>40.999999999999936</v>
      </c>
      <c r="E14" s="9">
        <f t="shared" si="38"/>
        <v>2.8472222222222177E-2</v>
      </c>
      <c r="F14" s="9">
        <v>0.44722222222222219</v>
      </c>
      <c r="G14" s="11">
        <v>10.0258</v>
      </c>
      <c r="H14" s="11">
        <v>18.871400000000001</v>
      </c>
      <c r="I14" s="11">
        <v>14.4884</v>
      </c>
      <c r="J14" s="11">
        <f t="shared" si="1"/>
        <v>4.3830000000000009</v>
      </c>
      <c r="K14" s="11">
        <f t="shared" si="2"/>
        <v>4.4626000000000001</v>
      </c>
      <c r="L14" s="19" t="s">
        <v>1</v>
      </c>
      <c r="M14" s="20">
        <v>257</v>
      </c>
      <c r="N14" s="16">
        <v>648869</v>
      </c>
      <c r="O14" s="17" t="s">
        <v>1</v>
      </c>
      <c r="P14" s="18">
        <v>43807</v>
      </c>
      <c r="Q14" s="15">
        <v>0</v>
      </c>
      <c r="R14" s="15">
        <v>0</v>
      </c>
      <c r="S14" s="15">
        <f t="shared" si="5"/>
        <v>7.3909498220794374</v>
      </c>
      <c r="T14" s="15">
        <v>0</v>
      </c>
      <c r="U14" s="15">
        <f t="shared" si="6"/>
        <v>9.1231375985977206</v>
      </c>
      <c r="V14" s="15">
        <f t="shared" si="7"/>
        <v>0</v>
      </c>
      <c r="W14" s="15">
        <f t="shared" si="8"/>
        <v>0</v>
      </c>
      <c r="X14" s="15">
        <f t="shared" si="9"/>
        <v>1.3365793658248455E-2</v>
      </c>
      <c r="Y14" s="15">
        <f t="shared" si="10"/>
        <v>0</v>
      </c>
      <c r="Z14" s="15">
        <f t="shared" si="11"/>
        <v>5.9939014022787028E-3</v>
      </c>
      <c r="AA14" s="15">
        <f t="shared" si="12"/>
        <v>0</v>
      </c>
      <c r="AB14" s="15">
        <f t="shared" si="13"/>
        <v>0</v>
      </c>
      <c r="AC14" s="15">
        <f t="shared" si="14"/>
        <v>7.9692546909080446E-3</v>
      </c>
      <c r="AD14" s="15">
        <f t="shared" si="15"/>
        <v>0</v>
      </c>
      <c r="AE14" s="15">
        <f t="shared" si="16"/>
        <v>2.1950269062226112E-4</v>
      </c>
      <c r="AF14" s="15">
        <f t="shared" si="17"/>
        <v>0</v>
      </c>
      <c r="AG14" s="15">
        <f t="shared" si="18"/>
        <v>0</v>
      </c>
      <c r="AH14" s="15">
        <f t="shared" si="19"/>
        <v>9.4145869587749221E-5</v>
      </c>
      <c r="AI14" s="15">
        <f t="shared" si="20"/>
        <v>0</v>
      </c>
      <c r="AJ14" s="15">
        <f t="shared" si="21"/>
        <v>2.7250822553358463E-5</v>
      </c>
      <c r="AK14" s="15">
        <f t="shared" si="22"/>
        <v>0</v>
      </c>
      <c r="AL14" s="15">
        <f t="shared" si="23"/>
        <v>0</v>
      </c>
      <c r="AM14" s="15">
        <f t="shared" si="24"/>
        <v>2.1096640879251831E-2</v>
      </c>
      <c r="AN14" s="15">
        <f t="shared" si="25"/>
        <v>0</v>
      </c>
      <c r="AO14" s="15">
        <f t="shared" si="26"/>
        <v>6.1064900625999339E-3</v>
      </c>
      <c r="AP14" s="15">
        <f>AK14-(AVERAGE($AK$9:$AK$11))</f>
        <v>0</v>
      </c>
      <c r="AQ14" s="15">
        <f>IF(AL14-(AVERAGE($AL$9:$AL$11))&lt;0,0,AL14-(AVERAGE($AL$9:$AL$11)))</f>
        <v>0</v>
      </c>
      <c r="AR14" s="15">
        <f>IF(AM14-(AVERAGE($AM$9:$AM$11))&lt;0,0,AM14-(AVERAGE($AM$9:$AM$11)))</f>
        <v>1.3535259429167772E-2</v>
      </c>
      <c r="AS14" s="15">
        <f>IF(AN14-(AVERAGE($AN$9:$AN$11))&lt;0,0,AN14-(AVERAGE($AN$9:$AN$11)))</f>
        <v>0</v>
      </c>
      <c r="AT14" s="15">
        <f t="shared" si="39"/>
        <v>4.5731616265084832E-3</v>
      </c>
      <c r="AU14" s="10">
        <f t="shared" si="40"/>
        <v>2.5491573050280582E-2</v>
      </c>
      <c r="AV14" s="10">
        <f t="shared" si="41"/>
        <v>4.064275390518242</v>
      </c>
      <c r="AW14" s="10">
        <f t="shared" si="42"/>
        <v>0.20637656479389402</v>
      </c>
      <c r="AX14" s="10">
        <f t="shared" si="43"/>
        <v>3.4765682339138166E-6</v>
      </c>
      <c r="AY14" s="10">
        <f t="shared" si="44"/>
        <v>0.28793163407884548</v>
      </c>
      <c r="AZ14" s="10">
        <f t="shared" si="32"/>
        <v>0</v>
      </c>
      <c r="BA14" s="10">
        <f t="shared" si="33"/>
        <v>0</v>
      </c>
      <c r="BB14" s="10">
        <f t="shared" si="34"/>
        <v>6.5585254036403237E-2</v>
      </c>
      <c r="BC14" s="10">
        <f t="shared" si="45"/>
        <v>0</v>
      </c>
      <c r="BD14" s="10">
        <f t="shared" si="36"/>
        <v>1.5882803711856807E-2</v>
      </c>
      <c r="BG14" s="12">
        <v>19.999999999999929</v>
      </c>
      <c r="BH14">
        <v>5.344683497560879E-3</v>
      </c>
    </row>
    <row r="15" spans="2:60" x14ac:dyDescent="0.25">
      <c r="B15" s="10" t="s">
        <v>98</v>
      </c>
      <c r="C15" s="15" t="s">
        <v>117</v>
      </c>
      <c r="D15" s="12">
        <f t="shared" si="37"/>
        <v>66.999999999999915</v>
      </c>
      <c r="E15" s="9">
        <f t="shared" si="38"/>
        <v>4.6527777777777724E-2</v>
      </c>
      <c r="F15" s="9">
        <v>0.46527777777777773</v>
      </c>
      <c r="G15" s="11">
        <v>9.9999000000000002</v>
      </c>
      <c r="H15" s="11">
        <v>18.833300000000001</v>
      </c>
      <c r="I15" s="11">
        <v>14.071400000000001</v>
      </c>
      <c r="J15" s="11">
        <f t="shared" si="1"/>
        <v>4.7619000000000007</v>
      </c>
      <c r="K15" s="11">
        <f t="shared" si="2"/>
        <v>4.0715000000000003</v>
      </c>
      <c r="L15" s="19" t="s">
        <v>1</v>
      </c>
      <c r="M15" s="20">
        <v>3856</v>
      </c>
      <c r="N15" s="16">
        <v>2445853</v>
      </c>
      <c r="O15" s="17">
        <v>25145</v>
      </c>
      <c r="P15" s="18">
        <v>424837</v>
      </c>
      <c r="Q15" s="15">
        <v>0</v>
      </c>
      <c r="R15" s="15">
        <f t="shared" si="4"/>
        <v>668.95577700946831</v>
      </c>
      <c r="S15" s="15">
        <f t="shared" si="5"/>
        <v>33.27924164061487</v>
      </c>
      <c r="T15" s="15">
        <f t="shared" si="0"/>
        <v>2.0058000000000001E-4</v>
      </c>
      <c r="U15" s="15">
        <f t="shared" si="6"/>
        <v>81.719639522920389</v>
      </c>
      <c r="V15" s="15">
        <f t="shared" si="7"/>
        <v>0</v>
      </c>
      <c r="W15" s="15">
        <f t="shared" si="8"/>
        <v>0.40789986403016359</v>
      </c>
      <c r="X15" s="15">
        <f t="shared" si="9"/>
        <v>6.0182180582887927E-2</v>
      </c>
      <c r="Y15" s="15">
        <f t="shared" si="10"/>
        <v>1.2111622140000001E-6</v>
      </c>
      <c r="Z15" s="15">
        <f t="shared" si="11"/>
        <v>5.3689803166558692E-2</v>
      </c>
      <c r="AA15" s="15">
        <f t="shared" si="12"/>
        <v>0</v>
      </c>
      <c r="AB15" s="15">
        <f t="shared" si="13"/>
        <v>9.9005454997401314E-4</v>
      </c>
      <c r="AC15" s="15">
        <f t="shared" si="14"/>
        <v>3.5883175902784781E-2</v>
      </c>
      <c r="AD15" s="15">
        <f t="shared" si="15"/>
        <v>7.031211552000001E-9</v>
      </c>
      <c r="AE15" s="15">
        <f t="shared" si="16"/>
        <v>1.9661745269214646E-3</v>
      </c>
      <c r="AF15" s="15">
        <f t="shared" si="17"/>
        <v>0</v>
      </c>
      <c r="AG15" s="15">
        <f t="shared" si="18"/>
        <v>1.9464093696254553E-3</v>
      </c>
      <c r="AH15" s="15">
        <f t="shared" si="19"/>
        <v>4.3267987640584226E-4</v>
      </c>
      <c r="AI15" s="15">
        <f t="shared" si="20"/>
        <v>5.7960609246805696E-9</v>
      </c>
      <c r="AJ15" s="15">
        <f t="shared" si="21"/>
        <v>2.6367075328519662E-4</v>
      </c>
      <c r="AK15" s="15">
        <f t="shared" si="22"/>
        <v>0</v>
      </c>
      <c r="AL15" s="15">
        <f t="shared" si="23"/>
        <v>0.47805707224007249</v>
      </c>
      <c r="AM15" s="15">
        <f t="shared" si="24"/>
        <v>0.10627038595255857</v>
      </c>
      <c r="AN15" s="15">
        <f t="shared" si="25"/>
        <v>1.4235689364314305E-6</v>
      </c>
      <c r="AO15" s="15">
        <f t="shared" si="26"/>
        <v>6.4760101506863954E-2</v>
      </c>
      <c r="AP15" s="15">
        <f t="shared" ref="AP15:AP37" si="46">AK15-(AVERAGE($AK$11:$AK$13))</f>
        <v>0</v>
      </c>
      <c r="AQ15" s="15">
        <f t="shared" si="29"/>
        <v>0.47805707224007249</v>
      </c>
      <c r="AR15" s="15">
        <f t="shared" ref="AR15:AR37" si="47">IF(AM15-(AVERAGE($AM$9:$AM$11))&lt;0,0,AM15-(AVERAGE($AM$9:$AM$11)))</f>
        <v>9.8709004502474509E-2</v>
      </c>
      <c r="AS15" s="15">
        <f t="shared" si="31"/>
        <v>1.4235689364314305E-6</v>
      </c>
      <c r="AT15" s="15">
        <f t="shared" si="39"/>
        <v>6.3226773070772499E-2</v>
      </c>
      <c r="AU15" s="10">
        <f t="shared" si="40"/>
        <v>2.5081370194372177E-2</v>
      </c>
      <c r="AV15" s="10">
        <f t="shared" si="41"/>
        <v>3.9294782829875134</v>
      </c>
      <c r="AW15" s="10">
        <f t="shared" si="42"/>
        <v>0.20370726474717757</v>
      </c>
      <c r="AX15" s="10">
        <f t="shared" si="43"/>
        <v>3.5294211840581592E-6</v>
      </c>
      <c r="AY15" s="10">
        <f t="shared" si="44"/>
        <v>0.28607198194886441</v>
      </c>
      <c r="AZ15" s="10">
        <f t="shared" si="32"/>
        <v>0</v>
      </c>
      <c r="BA15" s="10">
        <f t="shared" si="33"/>
        <v>0.12165917147571409</v>
      </c>
      <c r="BB15" s="10">
        <f t="shared" si="34"/>
        <v>0.48456300576703981</v>
      </c>
      <c r="BC15" s="10">
        <f t="shared" si="45"/>
        <v>0.40334345553924472</v>
      </c>
      <c r="BD15" s="10">
        <f t="shared" si="36"/>
        <v>0.22101700641929461</v>
      </c>
      <c r="BF15" s="15"/>
      <c r="BG15" s="12">
        <v>30</v>
      </c>
      <c r="BH15">
        <v>0.11252988163955456</v>
      </c>
    </row>
    <row r="16" spans="2:60" x14ac:dyDescent="0.25">
      <c r="B16" s="10" t="s">
        <v>99</v>
      </c>
      <c r="C16" s="15" t="s">
        <v>117</v>
      </c>
      <c r="D16" s="12">
        <f t="shared" si="37"/>
        <v>81.000000000000028</v>
      </c>
      <c r="E16" s="9">
        <f t="shared" si="38"/>
        <v>5.6250000000000022E-2</v>
      </c>
      <c r="F16" s="9">
        <v>0.47500000000000003</v>
      </c>
      <c r="G16" s="11">
        <v>10.0312</v>
      </c>
      <c r="H16" s="11">
        <v>18.895</v>
      </c>
      <c r="I16" s="11">
        <v>14.174300000000001</v>
      </c>
      <c r="J16" s="11">
        <f t="shared" si="1"/>
        <v>4.720699999999999</v>
      </c>
      <c r="K16" s="11">
        <f t="shared" si="2"/>
        <v>4.1431000000000004</v>
      </c>
      <c r="L16" s="19">
        <v>33664</v>
      </c>
      <c r="M16" s="20">
        <v>6380</v>
      </c>
      <c r="N16" s="16">
        <v>3229234</v>
      </c>
      <c r="O16" s="17">
        <v>38404</v>
      </c>
      <c r="P16" s="18">
        <v>678141</v>
      </c>
      <c r="Q16" s="15">
        <f t="shared" si="3"/>
        <v>7.6187468804433074</v>
      </c>
      <c r="R16" s="15">
        <f t="shared" si="4"/>
        <v>1239.3125889770185</v>
      </c>
      <c r="S16" s="15">
        <f t="shared" si="5"/>
        <v>44.565038249319294</v>
      </c>
      <c r="T16" s="15">
        <f t="shared" si="0"/>
        <v>2.5361600000000002E-4</v>
      </c>
      <c r="U16" s="15">
        <f t="shared" si="6"/>
        <v>129.98089014213312</v>
      </c>
      <c r="V16" s="15">
        <f t="shared" si="7"/>
        <v>9.4327705126768593E-3</v>
      </c>
      <c r="W16" s="15">
        <f t="shared" si="8"/>
        <v>0.75567840791281615</v>
      </c>
      <c r="X16" s="15">
        <f t="shared" si="9"/>
        <v>8.0591415170069014E-2</v>
      </c>
      <c r="Y16" s="15">
        <f t="shared" si="10"/>
        <v>1.5314094927999999E-6</v>
      </c>
      <c r="Z16" s="15">
        <f t="shared" si="11"/>
        <v>8.5397444823381463E-2</v>
      </c>
      <c r="AA16" s="15">
        <f t="shared" si="12"/>
        <v>4.3528186552036749E-4</v>
      </c>
      <c r="AB16" s="15">
        <f t="shared" si="13"/>
        <v>1.8341826316859875E-3</v>
      </c>
      <c r="AC16" s="15">
        <f t="shared" si="14"/>
        <v>4.8052029667137279E-2</v>
      </c>
      <c r="AD16" s="15">
        <f t="shared" si="15"/>
        <v>8.8903567104000013E-9</v>
      </c>
      <c r="AE16" s="15">
        <f t="shared" si="16"/>
        <v>3.1273402168197229E-3</v>
      </c>
      <c r="AF16" s="15">
        <f t="shared" si="17"/>
        <v>4.6332696056231075E-5</v>
      </c>
      <c r="AG16" s="15">
        <f t="shared" si="18"/>
        <v>3.5749302622953686E-3</v>
      </c>
      <c r="AH16" s="15">
        <f t="shared" si="19"/>
        <v>5.7953225770726114E-4</v>
      </c>
      <c r="AI16" s="15">
        <f t="shared" si="20"/>
        <v>7.2661584295478166E-9</v>
      </c>
      <c r="AJ16" s="15">
        <f t="shared" si="21"/>
        <v>4.1609260103004253E-4</v>
      </c>
      <c r="AK16" s="15">
        <f t="shared" si="22"/>
        <v>1.1183098659513665E-2</v>
      </c>
      <c r="AL16" s="15">
        <f t="shared" si="23"/>
        <v>0.8628636195832512</v>
      </c>
      <c r="AM16" s="15">
        <f t="shared" si="24"/>
        <v>0.13987889689055563</v>
      </c>
      <c r="AN16" s="15">
        <f t="shared" si="25"/>
        <v>1.7537975017614383E-6</v>
      </c>
      <c r="AO16" s="15">
        <f t="shared" si="26"/>
        <v>0.10043025778524353</v>
      </c>
      <c r="AP16" s="15">
        <f t="shared" si="46"/>
        <v>1.1183098659513665E-2</v>
      </c>
      <c r="AQ16" s="15">
        <f t="shared" si="29"/>
        <v>0.8628636195832512</v>
      </c>
      <c r="AR16" s="15">
        <f t="shared" si="47"/>
        <v>0.13231751544047157</v>
      </c>
      <c r="AS16" s="15">
        <f t="shared" si="31"/>
        <v>1.7537975017614383E-6</v>
      </c>
      <c r="AT16" s="15">
        <f t="shared" si="39"/>
        <v>9.8896929349152077E-2</v>
      </c>
      <c r="AU16" s="10">
        <f t="shared" si="40"/>
        <v>2.4860491733498417E-2</v>
      </c>
      <c r="AV16" s="10">
        <f t="shared" si="41"/>
        <v>3.8568952250863511</v>
      </c>
      <c r="AW16" s="10">
        <f t="shared" si="42"/>
        <v>0.20226994933740716</v>
      </c>
      <c r="AX16" s="10">
        <f t="shared" si="43"/>
        <v>3.5578804649051133E-6</v>
      </c>
      <c r="AY16" s="10">
        <f t="shared" si="44"/>
        <v>0.28507063080195155</v>
      </c>
      <c r="AZ16" s="10">
        <f t="shared" si="32"/>
        <v>0.44983416979017082</v>
      </c>
      <c r="BA16" s="10">
        <f t="shared" si="33"/>
        <v>0.22371974586474092</v>
      </c>
      <c r="BB16" s="10">
        <f t="shared" si="34"/>
        <v>0.65416299294045055</v>
      </c>
      <c r="BC16" s="10">
        <f t="shared" si="45"/>
        <v>0.4929332278194487</v>
      </c>
      <c r="BD16" s="10">
        <f t="shared" si="36"/>
        <v>0.34692079317654861</v>
      </c>
      <c r="BG16" s="12">
        <v>40.999999999999936</v>
      </c>
      <c r="BH16">
        <v>0.19415777505684803</v>
      </c>
    </row>
    <row r="17" spans="2:60" x14ac:dyDescent="0.25">
      <c r="B17" s="10" t="s">
        <v>100</v>
      </c>
      <c r="C17" s="15" t="s">
        <v>117</v>
      </c>
      <c r="D17" s="12">
        <f t="shared" si="37"/>
        <v>100.99999999999996</v>
      </c>
      <c r="E17" s="9">
        <f>F17-$F$3</f>
        <v>7.0138888888888862E-2</v>
      </c>
      <c r="F17" s="9">
        <v>0.48888888888888887</v>
      </c>
      <c r="G17" s="11">
        <v>9.9789999999999992</v>
      </c>
      <c r="H17" s="11">
        <v>18.718800000000002</v>
      </c>
      <c r="I17" s="11">
        <v>14.2234</v>
      </c>
      <c r="J17" s="11">
        <f t="shared" si="1"/>
        <v>4.4954000000000018</v>
      </c>
      <c r="K17" s="11">
        <f t="shared" si="2"/>
        <v>4.2444000000000006</v>
      </c>
      <c r="L17" s="19">
        <v>55757</v>
      </c>
      <c r="M17" s="20">
        <v>9509</v>
      </c>
      <c r="N17" s="16">
        <v>4169588</v>
      </c>
      <c r="O17" s="17">
        <v>62473</v>
      </c>
      <c r="P17" s="18">
        <v>1062218</v>
      </c>
      <c r="Q17" s="15">
        <f t="shared" si="3"/>
        <v>9.8692078108606403</v>
      </c>
      <c r="R17" s="15">
        <f t="shared" si="4"/>
        <v>1946.3832960477255</v>
      </c>
      <c r="S17" s="15">
        <f t="shared" si="5"/>
        <v>58.112270035872243</v>
      </c>
      <c r="T17" s="15">
        <f t="shared" si="0"/>
        <v>3.4989200000000003E-4</v>
      </c>
      <c r="U17" s="15">
        <f t="shared" si="6"/>
        <v>203.15792782837326</v>
      </c>
      <c r="V17" s="15">
        <f t="shared" si="7"/>
        <v>1.2219066190626559E-2</v>
      </c>
      <c r="W17" s="15">
        <f t="shared" si="8"/>
        <v>1.1868190829559302</v>
      </c>
      <c r="X17" s="15">
        <f t="shared" si="9"/>
        <v>0.10509022913287136</v>
      </c>
      <c r="Y17" s="15">
        <f t="shared" si="10"/>
        <v>2.1127528636000002E-6</v>
      </c>
      <c r="Z17" s="15">
        <f t="shared" si="11"/>
        <v>0.13347475858324123</v>
      </c>
      <c r="AA17" s="15">
        <f t="shared" si="12"/>
        <v>5.638574498579009E-4</v>
      </c>
      <c r="AB17" s="15">
        <f t="shared" si="13"/>
        <v>2.8806472781506337E-3</v>
      </c>
      <c r="AC17" s="15">
        <f t="shared" si="14"/>
        <v>6.2659264604829068E-2</v>
      </c>
      <c r="AD17" s="15">
        <f t="shared" si="15"/>
        <v>1.2265254124800001E-8</v>
      </c>
      <c r="AE17" s="15">
        <f t="shared" si="16"/>
        <v>4.88797974355066E-3</v>
      </c>
      <c r="AF17" s="15">
        <f t="shared" si="17"/>
        <v>5.7322826713519525E-5</v>
      </c>
      <c r="AG17" s="15">
        <f t="shared" si="18"/>
        <v>5.3474531248274742E-3</v>
      </c>
      <c r="AH17" s="15">
        <f t="shared" si="19"/>
        <v>7.3837359873264665E-4</v>
      </c>
      <c r="AI17" s="15">
        <f t="shared" si="20"/>
        <v>9.5497278676347458E-9</v>
      </c>
      <c r="AJ17" s="15">
        <f t="shared" si="21"/>
        <v>6.2076897095862931E-4</v>
      </c>
      <c r="AK17" s="15">
        <f t="shared" si="22"/>
        <v>1.3505519440561567E-2</v>
      </c>
      <c r="AL17" s="15">
        <f t="shared" si="23"/>
        <v>1.2598843475703216</v>
      </c>
      <c r="AM17" s="15">
        <f t="shared" si="24"/>
        <v>0.17396418780808751</v>
      </c>
      <c r="AN17" s="15">
        <f t="shared" si="25"/>
        <v>2.2499594448295979E-6</v>
      </c>
      <c r="AO17" s="15">
        <f t="shared" si="26"/>
        <v>0.14625600107403383</v>
      </c>
      <c r="AP17" s="15">
        <f t="shared" si="46"/>
        <v>1.3505519440561567E-2</v>
      </c>
      <c r="AQ17" s="15">
        <f t="shared" si="29"/>
        <v>1.2598843475703216</v>
      </c>
      <c r="AR17" s="15">
        <f t="shared" si="47"/>
        <v>0.16640280635800345</v>
      </c>
      <c r="AS17" s="15">
        <f t="shared" si="31"/>
        <v>2.2499594448295979E-6</v>
      </c>
      <c r="AT17" s="15">
        <f t="shared" si="39"/>
        <v>0.14472267263794239</v>
      </c>
      <c r="AU17" s="10">
        <f t="shared" si="40"/>
        <v>2.4544951075107336E-2</v>
      </c>
      <c r="AV17" s="10">
        <f t="shared" si="41"/>
        <v>3.7532051423704065</v>
      </c>
      <c r="AW17" s="10">
        <f t="shared" si="42"/>
        <v>0.20021664160916375</v>
      </c>
      <c r="AX17" s="10">
        <f t="shared" si="43"/>
        <v>3.5985365804007614E-6</v>
      </c>
      <c r="AY17" s="10">
        <f t="shared" si="44"/>
        <v>0.28364012916350462</v>
      </c>
      <c r="AZ17" s="10">
        <f t="shared" ref="AZ17:AZ37" si="48">AP17/AU17</f>
        <v>0.55023615240604051</v>
      </c>
      <c r="BA17" s="10">
        <f t="shared" ref="BA17:BA37" si="49">AQ17/AV17</f>
        <v>0.33568225017794212</v>
      </c>
      <c r="BB17" s="10">
        <f t="shared" si="34"/>
        <v>0.83111376267529669</v>
      </c>
      <c r="BC17" s="10">
        <f t="shared" si="45"/>
        <v>0.62524289931742882</v>
      </c>
      <c r="BD17" s="10">
        <f t="shared" si="36"/>
        <v>0.5102334181864544</v>
      </c>
      <c r="BF17" s="15"/>
      <c r="BG17" s="12">
        <v>50</v>
      </c>
      <c r="BH17">
        <v>0.24342603929800014</v>
      </c>
    </row>
    <row r="18" spans="2:60" x14ac:dyDescent="0.25">
      <c r="B18" s="10" t="s">
        <v>101</v>
      </c>
      <c r="C18" s="15" t="s">
        <v>117</v>
      </c>
      <c r="D18" s="12">
        <f t="shared" si="37"/>
        <v>122.99999999999996</v>
      </c>
      <c r="E18" s="9">
        <f t="shared" ref="E18:E27" si="50">F18-$F$3</f>
        <v>8.5416666666666641E-2</v>
      </c>
      <c r="F18" s="9">
        <v>0.50416666666666665</v>
      </c>
      <c r="G18" s="11">
        <v>10.0002</v>
      </c>
      <c r="H18" s="11">
        <v>19.099599999999999</v>
      </c>
      <c r="I18" s="11">
        <v>15.053100000000001</v>
      </c>
      <c r="J18" s="11">
        <f t="shared" si="1"/>
        <v>4.0464999999999982</v>
      </c>
      <c r="K18" s="11">
        <f t="shared" si="2"/>
        <v>5.0529000000000011</v>
      </c>
      <c r="L18" s="19">
        <v>94653</v>
      </c>
      <c r="M18" s="20">
        <v>15275</v>
      </c>
      <c r="N18" s="16">
        <v>5398082</v>
      </c>
      <c r="O18" s="17">
        <v>98516</v>
      </c>
      <c r="P18" s="18">
        <v>1707081</v>
      </c>
      <c r="Q18" s="15">
        <f t="shared" si="3"/>
        <v>13.8312740014872</v>
      </c>
      <c r="R18" s="15">
        <f t="shared" si="4"/>
        <v>3249.3458070639276</v>
      </c>
      <c r="S18" s="15">
        <f t="shared" si="5"/>
        <v>75.810597438520162</v>
      </c>
      <c r="T18" s="15">
        <f t="shared" si="0"/>
        <v>4.94064E-4</v>
      </c>
      <c r="U18" s="15">
        <f t="shared" si="6"/>
        <v>326.02173913043475</v>
      </c>
      <c r="V18" s="15">
        <f t="shared" si="7"/>
        <v>1.7124500341241303E-2</v>
      </c>
      <c r="W18" s="15">
        <f t="shared" si="8"/>
        <v>1.9813084189414192</v>
      </c>
      <c r="X18" s="15">
        <f t="shared" si="9"/>
        <v>0.13709588440781986</v>
      </c>
      <c r="Y18" s="15">
        <f t="shared" si="10"/>
        <v>2.9833066512000001E-6</v>
      </c>
      <c r="Z18" s="15">
        <f t="shared" si="11"/>
        <v>0.21419628260869567</v>
      </c>
      <c r="AA18" s="15">
        <f t="shared" si="12"/>
        <v>7.9022217752696821E-4</v>
      </c>
      <c r="AB18" s="15">
        <f t="shared" si="13"/>
        <v>4.8090317944546124E-3</v>
      </c>
      <c r="AC18" s="15">
        <f t="shared" si="14"/>
        <v>8.1742397635097164E-2</v>
      </c>
      <c r="AD18" s="15">
        <f t="shared" si="15"/>
        <v>1.73191170816E-8</v>
      </c>
      <c r="AE18" s="15">
        <f t="shared" si="16"/>
        <v>7.8440830434782609E-3</v>
      </c>
      <c r="AF18" s="15">
        <f t="shared" si="17"/>
        <v>7.3287204271658933E-5</v>
      </c>
      <c r="AG18" s="15">
        <f t="shared" si="18"/>
        <v>8.0416640740006498E-3</v>
      </c>
      <c r="AH18" s="15">
        <f t="shared" si="19"/>
        <v>9.6779465726662536E-4</v>
      </c>
      <c r="AI18" s="15">
        <f t="shared" si="20"/>
        <v>1.2159462130782411E-8</v>
      </c>
      <c r="AJ18" s="15">
        <f t="shared" si="21"/>
        <v>9.0638062478647801E-4</v>
      </c>
      <c r="AK18" s="15">
        <f t="shared" si="22"/>
        <v>1.4503988654368563E-2</v>
      </c>
      <c r="AL18" s="15">
        <f t="shared" si="23"/>
        <v>1.5914947998180546</v>
      </c>
      <c r="AM18" s="15">
        <f t="shared" si="24"/>
        <v>0.19153251741903168</v>
      </c>
      <c r="AN18" s="15">
        <f t="shared" si="25"/>
        <v>2.4064323716642739E-6</v>
      </c>
      <c r="AO18" s="15">
        <f t="shared" si="26"/>
        <v>0.17937830251666922</v>
      </c>
      <c r="AP18" s="15">
        <f t="shared" si="46"/>
        <v>1.4503988654368563E-2</v>
      </c>
      <c r="AQ18" s="15">
        <f t="shared" si="29"/>
        <v>1.5914947998180546</v>
      </c>
      <c r="AR18" s="15">
        <f t="shared" si="47"/>
        <v>0.18397113596894762</v>
      </c>
      <c r="AS18" s="15">
        <f t="shared" si="31"/>
        <v>2.4064323716642739E-6</v>
      </c>
      <c r="AT18" s="15">
        <f t="shared" si="39"/>
        <v>0.17784497408057778</v>
      </c>
      <c r="AU18" s="10">
        <f t="shared" si="40"/>
        <v>2.4197856350877144E-2</v>
      </c>
      <c r="AV18" s="10">
        <f t="shared" si="41"/>
        <v>3.6391460513828666</v>
      </c>
      <c r="AW18" s="10">
        <f t="shared" si="42"/>
        <v>0.19795800310809597</v>
      </c>
      <c r="AX18" s="10">
        <f t="shared" si="43"/>
        <v>3.6432583074459747E-6</v>
      </c>
      <c r="AY18" s="10">
        <f t="shared" si="44"/>
        <v>0.28206657736121293</v>
      </c>
      <c r="AZ18" s="10">
        <f t="shared" si="48"/>
        <v>0.59939146856877723</v>
      </c>
      <c r="BA18" s="10">
        <f t="shared" si="49"/>
        <v>0.43732644344221649</v>
      </c>
      <c r="BB18" s="10">
        <f t="shared" si="34"/>
        <v>0.92934427040309786</v>
      </c>
      <c r="BC18" s="10">
        <f t="shared" si="45"/>
        <v>0.66051654002849169</v>
      </c>
      <c r="BD18" s="10">
        <f t="shared" si="36"/>
        <v>0.63050708008141809</v>
      </c>
      <c r="BG18" s="12">
        <v>66.999999999999915</v>
      </c>
      <c r="BH18">
        <v>0.51775406681826142</v>
      </c>
    </row>
    <row r="19" spans="2:60" x14ac:dyDescent="0.25">
      <c r="B19" s="10" t="s">
        <v>102</v>
      </c>
      <c r="C19" s="15" t="s">
        <v>117</v>
      </c>
      <c r="D19" s="12">
        <f t="shared" si="37"/>
        <v>141.00000000000006</v>
      </c>
      <c r="E19" s="9">
        <f t="shared" si="50"/>
        <v>9.7916666666666707E-2</v>
      </c>
      <c r="F19" s="9">
        <v>0.51666666666666672</v>
      </c>
      <c r="G19" s="11">
        <v>9.7306000000000008</v>
      </c>
      <c r="H19" s="11">
        <v>18.652100000000001</v>
      </c>
      <c r="I19" s="11">
        <v>14.36</v>
      </c>
      <c r="J19" s="11">
        <f t="shared" si="1"/>
        <v>4.2921000000000014</v>
      </c>
      <c r="K19" s="11">
        <f t="shared" si="2"/>
        <v>4.6293999999999986</v>
      </c>
      <c r="L19" s="19">
        <v>75738</v>
      </c>
      <c r="M19" s="20">
        <v>11823</v>
      </c>
      <c r="N19" s="16">
        <v>4565901</v>
      </c>
      <c r="O19" s="17">
        <v>80109</v>
      </c>
      <c r="P19" s="18">
        <v>1356254</v>
      </c>
      <c r="Q19" s="15">
        <f t="shared" si="3"/>
        <v>11.904533925497345</v>
      </c>
      <c r="R19" s="15">
        <f t="shared" si="4"/>
        <v>2469.2856981447585</v>
      </c>
      <c r="S19" s="15">
        <f t="shared" si="5"/>
        <v>63.82176249405731</v>
      </c>
      <c r="T19" s="15">
        <f t="shared" si="0"/>
        <v>4.20436E-4</v>
      </c>
      <c r="U19" s="15">
        <f t="shared" si="6"/>
        <v>259.17972411690732</v>
      </c>
      <c r="V19" s="15">
        <f t="shared" si="7"/>
        <v>1.4739003453158263E-2</v>
      </c>
      <c r="W19" s="15">
        <f t="shared" si="8"/>
        <v>1.5056620110638772</v>
      </c>
      <c r="X19" s="15">
        <f t="shared" si="9"/>
        <v>0.11541527529425324</v>
      </c>
      <c r="Y19" s="15">
        <f t="shared" si="10"/>
        <v>2.5387186988E-6</v>
      </c>
      <c r="Z19" s="15">
        <f t="shared" si="11"/>
        <v>0.17028107874480813</v>
      </c>
      <c r="AA19" s="15">
        <f t="shared" si="12"/>
        <v>6.8014173676543988E-4</v>
      </c>
      <c r="AB19" s="15">
        <f t="shared" si="13"/>
        <v>3.6545428332542427E-3</v>
      </c>
      <c r="AC19" s="15">
        <f t="shared" si="14"/>
        <v>6.881549630040483E-2</v>
      </c>
      <c r="AD19" s="15">
        <f t="shared" si="15"/>
        <v>1.4738131718399999E-8</v>
      </c>
      <c r="AE19" s="15">
        <f t="shared" si="16"/>
        <v>6.23586416225279E-3</v>
      </c>
      <c r="AF19" s="15">
        <f t="shared" si="17"/>
        <v>6.6409924877482536E-5</v>
      </c>
      <c r="AG19" s="15">
        <f t="shared" si="18"/>
        <v>6.4793702582795366E-3</v>
      </c>
      <c r="AH19" s="15">
        <f t="shared" si="19"/>
        <v>8.1394836166355858E-4</v>
      </c>
      <c r="AI19" s="15">
        <f t="shared" si="20"/>
        <v>1.0964663234096644E-8</v>
      </c>
      <c r="AJ19" s="15">
        <f t="shared" si="21"/>
        <v>7.5973172763332429E-4</v>
      </c>
      <c r="AK19" s="15">
        <f t="shared" si="22"/>
        <v>1.4345255298199022E-2</v>
      </c>
      <c r="AL19" s="15">
        <f t="shared" si="23"/>
        <v>1.3996133966128523</v>
      </c>
      <c r="AM19" s="15">
        <f t="shared" si="24"/>
        <v>0.1758215668690454</v>
      </c>
      <c r="AN19" s="15">
        <f t="shared" si="25"/>
        <v>2.368484735407752E-6</v>
      </c>
      <c r="AO19" s="15">
        <f t="shared" si="26"/>
        <v>0.1641101930343726</v>
      </c>
      <c r="AP19" s="15">
        <f t="shared" si="46"/>
        <v>1.4345255298199022E-2</v>
      </c>
      <c r="AQ19" s="15">
        <f t="shared" si="29"/>
        <v>1.3996133966128523</v>
      </c>
      <c r="AR19" s="15">
        <f t="shared" si="47"/>
        <v>0.16826018541896134</v>
      </c>
      <c r="AS19" s="15">
        <f t="shared" si="31"/>
        <v>2.368484735407752E-6</v>
      </c>
      <c r="AT19" s="15">
        <f t="shared" si="39"/>
        <v>0.16257686459828116</v>
      </c>
      <c r="AU19" s="10">
        <f t="shared" si="40"/>
        <v>2.3913869758325167E-2</v>
      </c>
      <c r="AV19" s="10">
        <f t="shared" si="41"/>
        <v>3.5458249769385151</v>
      </c>
      <c r="AW19" s="10">
        <f t="shared" si="42"/>
        <v>0.19611002615267686</v>
      </c>
      <c r="AX19" s="10">
        <f t="shared" si="43"/>
        <v>3.6798488113920586E-6</v>
      </c>
      <c r="AY19" s="10">
        <f t="shared" si="44"/>
        <v>0.28077912588661069</v>
      </c>
      <c r="AZ19" s="10">
        <f t="shared" si="48"/>
        <v>0.5998717666012624</v>
      </c>
      <c r="BA19" s="10">
        <f t="shared" si="49"/>
        <v>0.39472151212079459</v>
      </c>
      <c r="BB19" s="10">
        <f t="shared" si="34"/>
        <v>0.8579886950194292</v>
      </c>
      <c r="BC19" s="10">
        <f t="shared" si="45"/>
        <v>0.64363642551710498</v>
      </c>
      <c r="BD19" s="10">
        <f t="shared" si="36"/>
        <v>0.57902048125876671</v>
      </c>
      <c r="BF19" s="15"/>
      <c r="BG19" s="12">
        <v>72</v>
      </c>
      <c r="BH19">
        <v>0.57168678211183022</v>
      </c>
    </row>
    <row r="20" spans="2:60" x14ac:dyDescent="0.25">
      <c r="B20" s="10" t="s">
        <v>103</v>
      </c>
      <c r="C20" s="15" t="s">
        <v>117</v>
      </c>
      <c r="D20" s="12">
        <f t="shared" si="37"/>
        <v>161</v>
      </c>
      <c r="E20" s="9">
        <f t="shared" si="50"/>
        <v>0.11180555555555555</v>
      </c>
      <c r="F20" s="9">
        <v>0.53055555555555556</v>
      </c>
      <c r="G20" s="11">
        <v>10.0276</v>
      </c>
      <c r="H20" s="11">
        <v>18.981100000000001</v>
      </c>
      <c r="I20" s="11">
        <v>14.6349</v>
      </c>
      <c r="J20" s="11">
        <f t="shared" si="1"/>
        <v>4.3462000000000014</v>
      </c>
      <c r="K20" s="11">
        <f t="shared" si="2"/>
        <v>4.6073000000000004</v>
      </c>
      <c r="L20" s="19">
        <v>101837</v>
      </c>
      <c r="M20" s="20">
        <v>16145</v>
      </c>
      <c r="N20" s="16">
        <v>5320869</v>
      </c>
      <c r="O20" s="17">
        <v>103015</v>
      </c>
      <c r="P20" s="18">
        <v>1771825</v>
      </c>
      <c r="Q20" s="15">
        <f t="shared" si="3"/>
        <v>14.563058336983426</v>
      </c>
      <c r="R20" s="15">
        <f t="shared" si="4"/>
        <v>3445.9426479560707</v>
      </c>
      <c r="S20" s="15">
        <f t="shared" si="5"/>
        <v>74.698226556985006</v>
      </c>
      <c r="T20" s="15">
        <f t="shared" si="0"/>
        <v>5.1206000000000005E-4</v>
      </c>
      <c r="U20" s="15">
        <f t="shared" si="6"/>
        <v>338.35721906794191</v>
      </c>
      <c r="V20" s="15">
        <f t="shared" si="7"/>
        <v>1.8030522527019179E-2</v>
      </c>
      <c r="W20" s="15">
        <f t="shared" si="8"/>
        <v>2.1011845414366284</v>
      </c>
      <c r="X20" s="15">
        <f t="shared" si="9"/>
        <v>0.1350842729056517</v>
      </c>
      <c r="Y20" s="15">
        <f t="shared" si="10"/>
        <v>3.0919718980000006E-6</v>
      </c>
      <c r="Z20" s="15">
        <f t="shared" si="11"/>
        <v>0.22230069292763785</v>
      </c>
      <c r="AA20" s="15">
        <f t="shared" si="12"/>
        <v>8.3203121196687407E-4</v>
      </c>
      <c r="AB20" s="15">
        <f t="shared" si="13"/>
        <v>5.0999951189749848E-3</v>
      </c>
      <c r="AC20" s="15">
        <f t="shared" si="14"/>
        <v>8.0542989293936287E-2</v>
      </c>
      <c r="AD20" s="15">
        <f t="shared" si="15"/>
        <v>1.7949956064000004E-8</v>
      </c>
      <c r="AE20" s="15">
        <f t="shared" si="16"/>
        <v>8.1408746907746816E-3</v>
      </c>
      <c r="AF20" s="15">
        <f t="shared" si="17"/>
        <v>8.2197674409825754E-5</v>
      </c>
      <c r="AG20" s="15">
        <f t="shared" si="18"/>
        <v>9.1556654615035284E-3</v>
      </c>
      <c r="AH20" s="15">
        <f t="shared" si="19"/>
        <v>9.5818898147649622E-4</v>
      </c>
      <c r="AI20" s="15">
        <f t="shared" si="20"/>
        <v>1.3521029095661272E-8</v>
      </c>
      <c r="AJ20" s="15">
        <f t="shared" si="21"/>
        <v>1.003670723564906E-3</v>
      </c>
      <c r="AK20" s="15">
        <f t="shared" si="22"/>
        <v>1.7840747164244948E-2</v>
      </c>
      <c r="AL20" s="15">
        <f t="shared" si="23"/>
        <v>1.9872084434492061</v>
      </c>
      <c r="AM20" s="15">
        <f t="shared" si="24"/>
        <v>0.20797191011579366</v>
      </c>
      <c r="AN20" s="15">
        <f t="shared" si="25"/>
        <v>2.9346969148224064E-6</v>
      </c>
      <c r="AO20" s="15">
        <f t="shared" si="26"/>
        <v>0.21784357944238619</v>
      </c>
      <c r="AP20" s="15">
        <f t="shared" si="46"/>
        <v>1.7840747164244948E-2</v>
      </c>
      <c r="AQ20" s="15">
        <f t="shared" si="29"/>
        <v>1.9872084434492061</v>
      </c>
      <c r="AR20" s="15">
        <f t="shared" si="47"/>
        <v>0.2004105286657096</v>
      </c>
      <c r="AS20" s="15">
        <f t="shared" si="31"/>
        <v>2.9346969148224064E-6</v>
      </c>
      <c r="AT20" s="15">
        <f t="shared" ref="AT20:AT37" si="51">IF(AO20-(AVERAGE($AO$9:$AO$11))&lt;0,0,AO20-(AVERAGE($AO$9:$AO$11)))</f>
        <v>0.21631025100629475</v>
      </c>
      <c r="AU20" s="10">
        <f t="shared" si="40"/>
        <v>2.3598329099934087E-2</v>
      </c>
      <c r="AV20" s="10">
        <f t="shared" si="41"/>
        <v>3.44213489422257</v>
      </c>
      <c r="AW20" s="10">
        <f t="shared" si="42"/>
        <v>0.19405671842443345</v>
      </c>
      <c r="AX20" s="10">
        <f t="shared" si="43"/>
        <v>3.7205049268877067E-6</v>
      </c>
      <c r="AY20" s="10">
        <f t="shared" si="44"/>
        <v>0.2793486242481637</v>
      </c>
      <c r="AZ20" s="10">
        <f t="shared" si="48"/>
        <v>0.75601738956572051</v>
      </c>
      <c r="BA20" s="10">
        <f t="shared" si="49"/>
        <v>0.57731858411029269</v>
      </c>
      <c r="BB20" s="10">
        <f t="shared" si="34"/>
        <v>1.0327420266242953</v>
      </c>
      <c r="BC20" s="10">
        <f t="shared" si="45"/>
        <v>0.78878995525947393</v>
      </c>
      <c r="BD20" s="10">
        <f t="shared" si="36"/>
        <v>0.77433798569250223</v>
      </c>
      <c r="BG20" s="12">
        <v>81.000000000000028</v>
      </c>
      <c r="BH20">
        <v>0.67751151536353571</v>
      </c>
    </row>
    <row r="21" spans="2:60" s="4" customFormat="1" x14ac:dyDescent="0.25">
      <c r="B21" s="4" t="s">
        <v>104</v>
      </c>
      <c r="C21" s="5" t="s">
        <v>43</v>
      </c>
      <c r="D21" s="6">
        <f t="shared" si="37"/>
        <v>161.99999999999997</v>
      </c>
      <c r="E21" s="7">
        <f t="shared" si="50"/>
        <v>0.11249999999999999</v>
      </c>
      <c r="F21" s="7">
        <v>0.53125</v>
      </c>
      <c r="G21" s="8">
        <v>10.0488</v>
      </c>
      <c r="H21" s="8">
        <v>19.093499999999999</v>
      </c>
      <c r="I21" s="8">
        <v>14.9084</v>
      </c>
      <c r="J21" s="8">
        <f t="shared" si="1"/>
        <v>4.1850999999999985</v>
      </c>
      <c r="K21" s="8">
        <f t="shared" si="2"/>
        <v>4.8596000000000004</v>
      </c>
      <c r="L21" s="13">
        <v>164954</v>
      </c>
      <c r="M21" s="13">
        <v>29778</v>
      </c>
      <c r="N21" s="13">
        <v>5443004</v>
      </c>
      <c r="O21" s="13">
        <v>152763</v>
      </c>
      <c r="P21" s="13">
        <v>2494544</v>
      </c>
      <c r="Q21" s="5">
        <f t="shared" si="3"/>
        <v>20.992350083018405</v>
      </c>
      <c r="R21" s="5">
        <f t="shared" si="4"/>
        <v>6526.6377420739836</v>
      </c>
      <c r="S21" s="5">
        <f t="shared" si="5"/>
        <v>76.457767277023038</v>
      </c>
      <c r="T21" s="5">
        <f t="shared" si="0"/>
        <v>7.110520000000001E-4</v>
      </c>
      <c r="U21" s="5">
        <f t="shared" si="6"/>
        <v>476.05470030103265</v>
      </c>
      <c r="V21" s="5">
        <f t="shared" si="7"/>
        <v>2.5990628637785087E-2</v>
      </c>
      <c r="W21" s="5">
        <f t="shared" si="8"/>
        <v>3.9796571598012096</v>
      </c>
      <c r="X21" s="5">
        <f t="shared" si="9"/>
        <v>0.13826622634376848</v>
      </c>
      <c r="Y21" s="5">
        <f t="shared" si="10"/>
        <v>4.2935452916000006E-6</v>
      </c>
      <c r="Z21" s="5">
        <f t="shared" si="11"/>
        <v>0.31276793809777848</v>
      </c>
      <c r="AA21" s="5">
        <f t="shared" si="12"/>
        <v>1.1993559372930906E-3</v>
      </c>
      <c r="AB21" s="5">
        <f t="shared" si="13"/>
        <v>9.6594238582694957E-3</v>
      </c>
      <c r="AC21" s="5">
        <f t="shared" si="14"/>
        <v>8.2440205277613698E-2</v>
      </c>
      <c r="AD21" s="5">
        <f t="shared" si="15"/>
        <v>2.4925501228800004E-8</v>
      </c>
      <c r="AE21" s="5">
        <f t="shared" si="16"/>
        <v>1.1453876089242846E-2</v>
      </c>
      <c r="AF21" s="5">
        <f t="shared" si="17"/>
        <v>1.1460177002486383E-4</v>
      </c>
      <c r="AG21" s="5">
        <f t="shared" si="18"/>
        <v>1.6702204115665684E-2</v>
      </c>
      <c r="AH21" s="5">
        <f t="shared" si="19"/>
        <v>9.792844054383968E-4</v>
      </c>
      <c r="AI21" s="5">
        <f t="shared" si="20"/>
        <v>1.8090044365646633E-8</v>
      </c>
      <c r="AJ21" s="5">
        <f t="shared" si="21"/>
        <v>1.3646263539762967E-3</v>
      </c>
      <c r="AK21" s="5">
        <f t="shared" si="22"/>
        <v>2.3582552067014532E-2</v>
      </c>
      <c r="AL21" s="5">
        <f t="shared" si="23"/>
        <v>3.4369503900867731</v>
      </c>
      <c r="AM21" s="5">
        <f t="shared" si="24"/>
        <v>0.20151543448810533</v>
      </c>
      <c r="AN21" s="5">
        <f t="shared" si="25"/>
        <v>3.722537732662489E-6</v>
      </c>
      <c r="AO21" s="5">
        <f t="shared" si="26"/>
        <v>0.28081042760233282</v>
      </c>
      <c r="AP21" s="5">
        <f t="shared" si="46"/>
        <v>2.3582552067014532E-2</v>
      </c>
      <c r="AQ21" s="5">
        <f t="shared" si="29"/>
        <v>3.4369503900867731</v>
      </c>
      <c r="AR21" s="5">
        <f t="shared" si="47"/>
        <v>0.19395405303802127</v>
      </c>
      <c r="AS21" s="5">
        <f t="shared" si="31"/>
        <v>3.722537732662489E-6</v>
      </c>
      <c r="AT21" s="5">
        <f t="shared" si="51"/>
        <v>0.27927709916624138</v>
      </c>
      <c r="AU21" s="4">
        <f>AP21</f>
        <v>2.3582552067014532E-2</v>
      </c>
      <c r="AV21" s="4">
        <f t="shared" ref="AV21" si="52">AQ21</f>
        <v>3.4369503900867731</v>
      </c>
      <c r="AW21" s="4">
        <f t="shared" ref="AW21:AY21" si="53">AR21</f>
        <v>0.19395405303802127</v>
      </c>
      <c r="AX21" s="4">
        <f t="shared" si="53"/>
        <v>3.722537732662489E-6</v>
      </c>
      <c r="AY21" s="4">
        <f t="shared" si="53"/>
        <v>0.27927709916624138</v>
      </c>
      <c r="AZ21" s="4">
        <f t="shared" si="48"/>
        <v>1</v>
      </c>
      <c r="BA21" s="4">
        <f t="shared" si="49"/>
        <v>1</v>
      </c>
      <c r="BB21" s="4">
        <f t="shared" si="34"/>
        <v>1</v>
      </c>
      <c r="BC21" s="4">
        <f t="shared" si="45"/>
        <v>1</v>
      </c>
      <c r="BD21" s="4">
        <f t="shared" si="36"/>
        <v>1</v>
      </c>
      <c r="BF21" s="5"/>
      <c r="BG21" s="12">
        <v>91</v>
      </c>
      <c r="BH21">
        <v>0.72940353332167218</v>
      </c>
    </row>
    <row r="22" spans="2:60" x14ac:dyDescent="0.25">
      <c r="B22" s="10" t="s">
        <v>105</v>
      </c>
      <c r="C22" s="15" t="s">
        <v>117</v>
      </c>
      <c r="D22" s="12">
        <f t="shared" si="37"/>
        <v>182.00000000000009</v>
      </c>
      <c r="E22" s="9">
        <f t="shared" si="50"/>
        <v>0.12638888888888894</v>
      </c>
      <c r="F22" s="9">
        <v>0.54513888888888895</v>
      </c>
      <c r="G22" s="11">
        <v>9.8695000000000004</v>
      </c>
      <c r="H22" s="11">
        <v>18.770199999999999</v>
      </c>
      <c r="I22" s="11">
        <v>14.7163</v>
      </c>
      <c r="J22" s="11">
        <f t="shared" si="1"/>
        <v>4.0538999999999987</v>
      </c>
      <c r="K22" s="11">
        <f t="shared" si="2"/>
        <v>4.8468</v>
      </c>
      <c r="L22" s="19">
        <v>121536</v>
      </c>
      <c r="M22" s="20">
        <v>17882</v>
      </c>
      <c r="N22" s="16">
        <v>5774302</v>
      </c>
      <c r="O22" s="17">
        <v>119427</v>
      </c>
      <c r="P22" s="18">
        <v>2073079</v>
      </c>
      <c r="Q22" s="15">
        <f t="shared" si="3"/>
        <v>16.569659064285787</v>
      </c>
      <c r="R22" s="15">
        <f t="shared" si="4"/>
        <v>3838.4584095993496</v>
      </c>
      <c r="S22" s="15">
        <f t="shared" si="5"/>
        <v>81.230619624566003</v>
      </c>
      <c r="T22" s="15">
        <f t="shared" si="0"/>
        <v>5.7770800000000002E-4</v>
      </c>
      <c r="U22" s="15">
        <f t="shared" si="6"/>
        <v>395.75423922569826</v>
      </c>
      <c r="V22" s="15">
        <f t="shared" si="7"/>
        <v>2.0514894887492231E-2</v>
      </c>
      <c r="W22" s="15">
        <f t="shared" si="8"/>
        <v>2.3405234204874081</v>
      </c>
      <c r="X22" s="15">
        <f t="shared" si="9"/>
        <v>0.14689745252906516</v>
      </c>
      <c r="Y22" s="15">
        <f t="shared" si="10"/>
        <v>3.4883742163999999E-6</v>
      </c>
      <c r="Z22" s="15">
        <f t="shared" si="11"/>
        <v>0.26001053517128375</v>
      </c>
      <c r="AA22" s="15">
        <f t="shared" si="12"/>
        <v>9.4667433131983983E-4</v>
      </c>
      <c r="AB22" s="15">
        <f t="shared" si="13"/>
        <v>5.6809184462070375E-3</v>
      </c>
      <c r="AC22" s="15">
        <f t="shared" si="14"/>
        <v>8.7586509457090178E-2</v>
      </c>
      <c r="AD22" s="15">
        <f t="shared" si="15"/>
        <v>2.0251207315200002E-8</v>
      </c>
      <c r="AE22" s="15">
        <f t="shared" si="16"/>
        <v>9.5218469957702983E-3</v>
      </c>
      <c r="AF22" s="15">
        <f t="shared" si="17"/>
        <v>8.775367353344573E-5</v>
      </c>
      <c r="AG22" s="15">
        <f t="shared" si="18"/>
        <v>9.5157821698389766E-3</v>
      </c>
      <c r="AH22" s="15">
        <f t="shared" si="19"/>
        <v>1.0200218768442017E-3</v>
      </c>
      <c r="AI22" s="15">
        <f t="shared" si="20"/>
        <v>1.4239673787479267E-8</v>
      </c>
      <c r="AJ22" s="15">
        <f t="shared" si="21"/>
        <v>1.1002071965499666E-3</v>
      </c>
      <c r="AK22" s="15">
        <f t="shared" si="22"/>
        <v>1.8105486822944154E-2</v>
      </c>
      <c r="AL22" s="15">
        <f t="shared" si="23"/>
        <v>1.9633123235617265</v>
      </c>
      <c r="AM22" s="15">
        <f t="shared" si="24"/>
        <v>0.21045264439304318</v>
      </c>
      <c r="AN22" s="15">
        <f t="shared" si="25"/>
        <v>2.9379536575636022E-6</v>
      </c>
      <c r="AO22" s="15">
        <f t="shared" si="26"/>
        <v>0.2269966156123559</v>
      </c>
      <c r="AP22" s="15">
        <f t="shared" si="46"/>
        <v>1.8105486822944154E-2</v>
      </c>
      <c r="AQ22" s="15">
        <f t="shared" si="29"/>
        <v>1.9633123235617265</v>
      </c>
      <c r="AR22" s="15">
        <f t="shared" si="47"/>
        <v>0.20289126294295912</v>
      </c>
      <c r="AS22" s="15">
        <f t="shared" si="31"/>
        <v>2.9379536575636022E-6</v>
      </c>
      <c r="AT22" s="15">
        <f t="shared" si="51"/>
        <v>0.22546328717626446</v>
      </c>
      <c r="AU22" s="10">
        <f>$AU$21+(($AU$26-$AU$21)/($D$26-$D$21))*(D22-$D$21)</f>
        <v>2.382047823868623E-2</v>
      </c>
      <c r="AV22" s="10">
        <f>$AV$21+(($AV$26-$AV$21)/($D$26-$D$21))*(D22-$D$21)</f>
        <v>3.4164790816089186</v>
      </c>
      <c r="AW22" s="10">
        <f>$AW$21+(($AW$26-$AW$21)/($D$26-$D$21))*(D22-$D$21)</f>
        <v>0.19498042219755127</v>
      </c>
      <c r="AX22" s="10">
        <f>$AX$21+(($AX$26-$AX$21)/($D$26-$D$21))*(D22-$D$21)</f>
        <v>3.7300206711359835E-6</v>
      </c>
      <c r="AY22" s="10">
        <f>$AY$21+(($AY$26-$AY$21)/($D$26-$D$21))*(D22-$D$21)</f>
        <v>0.28054385940044985</v>
      </c>
      <c r="AZ22" s="10">
        <f t="shared" si="48"/>
        <v>0.76008074403558767</v>
      </c>
      <c r="BA22" s="10">
        <f t="shared" si="49"/>
        <v>0.57465954764082616</v>
      </c>
      <c r="BB22" s="10">
        <f t="shared" si="34"/>
        <v>1.0405724875156579</v>
      </c>
      <c r="BC22" s="10">
        <f t="shared" si="45"/>
        <v>0.78765077102611447</v>
      </c>
      <c r="BD22" s="10">
        <f t="shared" si="36"/>
        <v>0.80366502285276153</v>
      </c>
      <c r="BG22" s="12">
        <v>100.99999999999996</v>
      </c>
      <c r="BH22">
        <v>0.83231298466561709</v>
      </c>
    </row>
    <row r="23" spans="2:60" x14ac:dyDescent="0.25">
      <c r="B23" s="10" t="s">
        <v>106</v>
      </c>
      <c r="C23" s="15" t="s">
        <v>117</v>
      </c>
      <c r="D23" s="12">
        <f t="shared" si="37"/>
        <v>200</v>
      </c>
      <c r="E23" s="9">
        <f t="shared" si="50"/>
        <v>0.1388888888888889</v>
      </c>
      <c r="F23" s="9">
        <v>0.55763888888888891</v>
      </c>
      <c r="G23" s="11">
        <v>10.0212</v>
      </c>
      <c r="H23" s="11">
        <v>18.972000000000001</v>
      </c>
      <c r="I23" s="11">
        <v>14.4339</v>
      </c>
      <c r="J23" s="11">
        <f t="shared" si="1"/>
        <v>4.5381000000000018</v>
      </c>
      <c r="K23" s="11">
        <f t="shared" si="2"/>
        <v>4.4126999999999992</v>
      </c>
      <c r="L23" s="19">
        <v>109018</v>
      </c>
      <c r="M23" s="20">
        <v>17301</v>
      </c>
      <c r="N23" s="16">
        <v>5292654</v>
      </c>
      <c r="O23" s="17">
        <v>107817</v>
      </c>
      <c r="P23" s="18">
        <v>1844150</v>
      </c>
      <c r="Q23" s="15">
        <f t="shared" si="3"/>
        <v>15.294537083252692</v>
      </c>
      <c r="R23" s="15">
        <f t="shared" si="4"/>
        <v>3707.1678756242518</v>
      </c>
      <c r="S23" s="15">
        <f t="shared" si="5"/>
        <v>74.29174650281648</v>
      </c>
      <c r="T23" s="15">
        <f t="shared" si="0"/>
        <v>5.31268E-4</v>
      </c>
      <c r="U23" s="15">
        <f t="shared" si="6"/>
        <v>352.13708417482752</v>
      </c>
      <c r="V23" s="15">
        <f t="shared" si="7"/>
        <v>1.8936166362775158E-2</v>
      </c>
      <c r="W23" s="15">
        <f t="shared" si="8"/>
        <v>2.260468216844056</v>
      </c>
      <c r="X23" s="15">
        <f t="shared" si="9"/>
        <v>0.13434919437569331</v>
      </c>
      <c r="Y23" s="15">
        <f t="shared" si="10"/>
        <v>3.2079555643999997E-6</v>
      </c>
      <c r="Z23" s="15">
        <f t="shared" si="11"/>
        <v>0.23135406430286173</v>
      </c>
      <c r="AA23" s="15">
        <f t="shared" si="12"/>
        <v>8.7382278717747599E-4</v>
      </c>
      <c r="AB23" s="15">
        <f t="shared" si="13"/>
        <v>5.4866084559238928E-3</v>
      </c>
      <c r="AC23" s="15">
        <f t="shared" si="14"/>
        <v>8.0104704207929353E-2</v>
      </c>
      <c r="AD23" s="15">
        <f t="shared" si="15"/>
        <v>1.8623280979200002E-8</v>
      </c>
      <c r="AE23" s="15">
        <f t="shared" si="16"/>
        <v>8.4724182452463499E-3</v>
      </c>
      <c r="AF23" s="15">
        <f t="shared" si="17"/>
        <v>8.979013438388803E-5</v>
      </c>
      <c r="AG23" s="15">
        <f t="shared" si="18"/>
        <v>1.028244157199347E-2</v>
      </c>
      <c r="AH23" s="15">
        <f t="shared" si="19"/>
        <v>9.6316810725466384E-4</v>
      </c>
      <c r="AI23" s="15">
        <f t="shared" si="20"/>
        <v>1.4640202098780559E-8</v>
      </c>
      <c r="AJ23" s="15">
        <f t="shared" si="21"/>
        <v>1.0872941192036159E-3</v>
      </c>
      <c r="AK23" s="15">
        <f t="shared" si="22"/>
        <v>2.0348116659616118E-2</v>
      </c>
      <c r="AL23" s="15">
        <f t="shared" si="23"/>
        <v>2.3301927554543642</v>
      </c>
      <c r="AM23" s="15">
        <f t="shared" si="24"/>
        <v>0.21827183068295239</v>
      </c>
      <c r="AN23" s="15">
        <f t="shared" si="25"/>
        <v>3.3177424476580238E-6</v>
      </c>
      <c r="AO23" s="15">
        <f t="shared" si="26"/>
        <v>0.24640109665366239</v>
      </c>
      <c r="AP23" s="15">
        <f t="shared" si="46"/>
        <v>2.0348116659616118E-2</v>
      </c>
      <c r="AQ23" s="15">
        <f t="shared" si="29"/>
        <v>2.3301927554543642</v>
      </c>
      <c r="AR23" s="15">
        <f t="shared" si="47"/>
        <v>0.21071044923286833</v>
      </c>
      <c r="AS23" s="15">
        <f t="shared" si="31"/>
        <v>3.3177424476580238E-6</v>
      </c>
      <c r="AT23" s="15">
        <f t="shared" si="51"/>
        <v>0.24486776821757095</v>
      </c>
      <c r="AU23" s="10">
        <f t="shared" ref="AU23:AU25" si="54">$AU$21+(($AU$26-$AU$21)/($D$26-$D$21))*(D23-$D$21)</f>
        <v>2.4034611793190757E-2</v>
      </c>
      <c r="AV23" s="10">
        <f t="shared" ref="AV23:AV25" si="55">$AV$21+(($AV$26-$AV$21)/($D$26-$D$21))*(D23-$D$21)</f>
        <v>3.3980549039788497</v>
      </c>
      <c r="AW23" s="10">
        <f t="shared" ref="AW23:AW25" si="56">$AW$21+(($AW$26-$AW$21)/($D$26-$D$21))*(D23-$D$21)</f>
        <v>0.19590415444112827</v>
      </c>
      <c r="AX23" s="10">
        <f t="shared" ref="AX23:AX25" si="57">$AX$21+(($AX$26-$AX$21)/($D$26-$D$21))*(D23-$D$21)</f>
        <v>3.7367553157621287E-6</v>
      </c>
      <c r="AY23" s="10">
        <f t="shared" ref="AY23:AY25" si="58">$AY$21+(($AY$26-$AY$21)/($D$26-$D$21))*(D23-$D$21)</f>
        <v>0.2816839436112375</v>
      </c>
      <c r="AZ23" s="10">
        <f t="shared" si="48"/>
        <v>0.84661723828553537</v>
      </c>
      <c r="BA23" s="10">
        <f t="shared" si="49"/>
        <v>0.68574311519389974</v>
      </c>
      <c r="BB23" s="10">
        <f t="shared" si="34"/>
        <v>1.0755792792346808</v>
      </c>
      <c r="BC23" s="10">
        <f t="shared" si="45"/>
        <v>0.88786719153468441</v>
      </c>
      <c r="BD23" s="10">
        <f t="shared" si="36"/>
        <v>0.86929970192238604</v>
      </c>
      <c r="BF23" s="15"/>
      <c r="BG23" s="12">
        <v>103</v>
      </c>
      <c r="BH23">
        <v>0.80082794006180402</v>
      </c>
    </row>
    <row r="24" spans="2:60" x14ac:dyDescent="0.25">
      <c r="B24" s="10" t="s">
        <v>107</v>
      </c>
      <c r="C24" s="15" t="s">
        <v>117</v>
      </c>
      <c r="D24" s="12">
        <f t="shared" si="37"/>
        <v>231.00000000000006</v>
      </c>
      <c r="E24" s="9">
        <f t="shared" si="50"/>
        <v>0.16041666666666671</v>
      </c>
      <c r="F24" s="9">
        <v>0.57916666666666672</v>
      </c>
      <c r="G24" s="11">
        <v>10.093500000000001</v>
      </c>
      <c r="H24" s="11">
        <v>19.046399999999998</v>
      </c>
      <c r="I24" s="11">
        <v>15.088699999999999</v>
      </c>
      <c r="J24" s="11">
        <f t="shared" si="1"/>
        <v>3.9576999999999991</v>
      </c>
      <c r="K24" s="11">
        <f t="shared" si="2"/>
        <v>4.9951999999999988</v>
      </c>
      <c r="L24" s="19">
        <v>143120</v>
      </c>
      <c r="M24" s="20">
        <v>21437</v>
      </c>
      <c r="N24" s="16">
        <v>6033456</v>
      </c>
      <c r="O24" s="17">
        <v>142285</v>
      </c>
      <c r="P24" s="18">
        <v>2390451</v>
      </c>
      <c r="Q24" s="15">
        <f t="shared" si="3"/>
        <v>18.768271689195384</v>
      </c>
      <c r="R24" s="15">
        <f t="shared" si="4"/>
        <v>4641.7937766931063</v>
      </c>
      <c r="S24" s="15">
        <f t="shared" si="5"/>
        <v>84.964127757048388</v>
      </c>
      <c r="T24" s="15">
        <f t="shared" si="0"/>
        <v>6.6914000000000003E-4</v>
      </c>
      <c r="U24" s="15">
        <f t="shared" si="6"/>
        <v>456.22217353198948</v>
      </c>
      <c r="V24" s="15">
        <f t="shared" si="7"/>
        <v>2.3236997178392806E-2</v>
      </c>
      <c r="W24" s="15">
        <f t="shared" si="8"/>
        <v>2.8303620589592109</v>
      </c>
      <c r="X24" s="15">
        <f t="shared" si="9"/>
        <v>0.15364912863584629</v>
      </c>
      <c r="Y24" s="15">
        <f t="shared" si="10"/>
        <v>4.0404680620000001E-6</v>
      </c>
      <c r="Z24" s="15">
        <f t="shared" si="11"/>
        <v>0.29973796801051711</v>
      </c>
      <c r="AA24" s="15">
        <f t="shared" si="12"/>
        <v>1.0722876664187998E-3</v>
      </c>
      <c r="AB24" s="15">
        <f t="shared" si="13"/>
        <v>6.8698547895057974E-3</v>
      </c>
      <c r="AC24" s="15">
        <f t="shared" si="14"/>
        <v>9.1612145933398628E-2</v>
      </c>
      <c r="AD24" s="15">
        <f t="shared" si="15"/>
        <v>2.3456301216000001E-8</v>
      </c>
      <c r="AE24" s="15">
        <f t="shared" si="16"/>
        <v>1.0976705495179668E-2</v>
      </c>
      <c r="AF24" s="15">
        <f t="shared" si="17"/>
        <v>9.7321355084220381E-5</v>
      </c>
      <c r="AG24" s="15">
        <f t="shared" si="18"/>
        <v>1.1236040219387405E-2</v>
      </c>
      <c r="AH24" s="15">
        <f t="shared" si="19"/>
        <v>1.0657181477686014E-3</v>
      </c>
      <c r="AI24" s="15">
        <f t="shared" si="20"/>
        <v>1.6108129364811557E-8</v>
      </c>
      <c r="AJ24" s="15">
        <f t="shared" si="21"/>
        <v>1.2411037952847447E-3</v>
      </c>
      <c r="AK24" s="15">
        <f t="shared" si="22"/>
        <v>1.9482974672529709E-2</v>
      </c>
      <c r="AL24" s="15">
        <f t="shared" si="23"/>
        <v>2.2493674366166334</v>
      </c>
      <c r="AM24" s="15">
        <f t="shared" si="24"/>
        <v>0.21334844406001796</v>
      </c>
      <c r="AN24" s="15">
        <f t="shared" si="25"/>
        <v>3.224721605703788E-6</v>
      </c>
      <c r="AO24" s="15">
        <f t="shared" si="26"/>
        <v>0.24845927996571607</v>
      </c>
      <c r="AP24" s="15">
        <f t="shared" si="46"/>
        <v>1.9482974672529709E-2</v>
      </c>
      <c r="AQ24" s="15">
        <f t="shared" si="29"/>
        <v>2.2493674366166334</v>
      </c>
      <c r="AR24" s="15">
        <f t="shared" si="47"/>
        <v>0.2057870626099339</v>
      </c>
      <c r="AS24" s="15">
        <f t="shared" si="31"/>
        <v>3.224721605703788E-6</v>
      </c>
      <c r="AT24" s="15">
        <f t="shared" si="51"/>
        <v>0.24692595152962463</v>
      </c>
      <c r="AU24" s="10">
        <f t="shared" si="54"/>
        <v>2.4403397359281886E-2</v>
      </c>
      <c r="AV24" s="10">
        <f t="shared" si="55"/>
        <v>3.3663243758381758</v>
      </c>
      <c r="AW24" s="10">
        <f t="shared" si="56"/>
        <v>0.19749502663839977</v>
      </c>
      <c r="AX24" s="10">
        <f t="shared" si="57"/>
        <v>3.7483538703960452E-6</v>
      </c>
      <c r="AY24" s="10">
        <f t="shared" si="58"/>
        <v>0.28364742197426063</v>
      </c>
      <c r="AZ24" s="10">
        <f t="shared" si="48"/>
        <v>0.79837140647629201</v>
      </c>
      <c r="BA24" s="10">
        <f t="shared" si="49"/>
        <v>0.6681968775087419</v>
      </c>
      <c r="BB24" s="10">
        <f t="shared" si="34"/>
        <v>1.0419860495359019</v>
      </c>
      <c r="BC24" s="10">
        <f t="shared" si="45"/>
        <v>0.86030340709615793</v>
      </c>
      <c r="BD24" s="10">
        <f t="shared" si="36"/>
        <v>0.87053832469533865</v>
      </c>
      <c r="BG24" s="12">
        <v>122.99999999999996</v>
      </c>
      <c r="BH24">
        <v>0.87050317765727936</v>
      </c>
    </row>
    <row r="25" spans="2:60" x14ac:dyDescent="0.25">
      <c r="B25" s="10" t="s">
        <v>108</v>
      </c>
      <c r="C25" s="15" t="s">
        <v>117</v>
      </c>
      <c r="D25" s="12">
        <f t="shared" si="37"/>
        <v>272.99999999999989</v>
      </c>
      <c r="E25" s="9">
        <f t="shared" si="50"/>
        <v>0.18958333333333327</v>
      </c>
      <c r="F25" s="9">
        <v>0.60833333333333328</v>
      </c>
      <c r="G25" s="11">
        <v>9.9711999999999996</v>
      </c>
      <c r="H25" s="11">
        <v>18.7727</v>
      </c>
      <c r="I25" s="11">
        <v>14.837300000000001</v>
      </c>
      <c r="J25" s="11">
        <f t="shared" si="1"/>
        <v>3.9353999999999996</v>
      </c>
      <c r="K25" s="11">
        <f t="shared" si="2"/>
        <v>4.8661000000000012</v>
      </c>
      <c r="L25" s="19">
        <v>143790</v>
      </c>
      <c r="M25" s="20">
        <v>20992</v>
      </c>
      <c r="N25" s="16">
        <v>5721197</v>
      </c>
      <c r="O25" s="17">
        <v>133697</v>
      </c>
      <c r="P25" s="18">
        <v>2378994</v>
      </c>
      <c r="Q25" s="15">
        <f t="shared" si="3"/>
        <v>18.836519949883368</v>
      </c>
      <c r="R25" s="15">
        <f t="shared" si="4"/>
        <v>4541.2356224436762</v>
      </c>
      <c r="S25" s="15">
        <f t="shared" si="5"/>
        <v>80.465561206114131</v>
      </c>
      <c r="T25" s="15">
        <f t="shared" si="0"/>
        <v>6.3478800000000006E-4</v>
      </c>
      <c r="U25" s="15">
        <f t="shared" si="6"/>
        <v>454.03930571962047</v>
      </c>
      <c r="V25" s="15">
        <f t="shared" si="7"/>
        <v>2.3321495349950594E-2</v>
      </c>
      <c r="W25" s="15">
        <f t="shared" si="8"/>
        <v>2.7690461112461442</v>
      </c>
      <c r="X25" s="15">
        <f t="shared" si="9"/>
        <v>0.14551392088513679</v>
      </c>
      <c r="Y25" s="15">
        <f t="shared" si="10"/>
        <v>3.8330403804000002E-6</v>
      </c>
      <c r="Z25" s="15">
        <f t="shared" si="11"/>
        <v>0.2983038238577907</v>
      </c>
      <c r="AA25" s="15">
        <f t="shared" si="12"/>
        <v>1.0761868942966864E-3</v>
      </c>
      <c r="AB25" s="15">
        <f t="shared" si="13"/>
        <v>6.7210287212166406E-3</v>
      </c>
      <c r="AC25" s="15">
        <f t="shared" si="14"/>
        <v>8.6761589042686535E-2</v>
      </c>
      <c r="AD25" s="15">
        <f t="shared" si="15"/>
        <v>2.2252112467200003E-8</v>
      </c>
      <c r="AE25" s="15">
        <f t="shared" si="16"/>
        <v>1.0924185695614068E-2</v>
      </c>
      <c r="AF25" s="15">
        <f t="shared" si="17"/>
        <v>9.7016245846532674E-5</v>
      </c>
      <c r="AG25" s="15">
        <f t="shared" si="18"/>
        <v>1.0930009264058387E-2</v>
      </c>
      <c r="AH25" s="15">
        <f t="shared" si="19"/>
        <v>9.9484605269198421E-4</v>
      </c>
      <c r="AI25" s="15">
        <f t="shared" si="20"/>
        <v>1.51928281175028E-8</v>
      </c>
      <c r="AJ25" s="15">
        <f t="shared" si="21"/>
        <v>1.2271030484233769E-3</v>
      </c>
      <c r="AK25" s="15">
        <f t="shared" si="22"/>
        <v>1.9937166487851182E-2</v>
      </c>
      <c r="AL25" s="15">
        <f t="shared" si="23"/>
        <v>2.2461538529948797</v>
      </c>
      <c r="AM25" s="15">
        <f t="shared" si="24"/>
        <v>0.2044442269357358</v>
      </c>
      <c r="AN25" s="15">
        <f t="shared" si="25"/>
        <v>3.1221775379673244E-6</v>
      </c>
      <c r="AO25" s="15">
        <f t="shared" si="26"/>
        <v>0.25217382471042038</v>
      </c>
      <c r="AP25" s="15">
        <f t="shared" si="46"/>
        <v>1.9937166487851182E-2</v>
      </c>
      <c r="AQ25" s="15">
        <f t="shared" si="29"/>
        <v>2.2461538529948797</v>
      </c>
      <c r="AR25" s="15">
        <f t="shared" si="47"/>
        <v>0.19688284548565174</v>
      </c>
      <c r="AS25" s="15">
        <f t="shared" si="31"/>
        <v>3.1221775379673244E-6</v>
      </c>
      <c r="AT25" s="15">
        <f t="shared" si="51"/>
        <v>0.25064049627432894</v>
      </c>
      <c r="AU25" s="10">
        <f t="shared" si="54"/>
        <v>2.490304231979245E-2</v>
      </c>
      <c r="AV25" s="10">
        <f t="shared" si="55"/>
        <v>3.323334628034682</v>
      </c>
      <c r="AW25" s="10">
        <f t="shared" si="56"/>
        <v>0.19965040187341276</v>
      </c>
      <c r="AX25" s="10">
        <f t="shared" si="57"/>
        <v>3.7640680411903835E-6</v>
      </c>
      <c r="AY25" s="10">
        <f t="shared" si="58"/>
        <v>0.28630761846609842</v>
      </c>
      <c r="AZ25" s="10">
        <f t="shared" si="48"/>
        <v>0.80059159968601556</v>
      </c>
      <c r="BA25" s="10">
        <f t="shared" si="49"/>
        <v>0.67587351392393069</v>
      </c>
      <c r="BB25" s="10">
        <f t="shared" si="34"/>
        <v>0.98613798739300418</v>
      </c>
      <c r="BC25" s="10">
        <f t="shared" si="45"/>
        <v>0.82946894259114889</v>
      </c>
      <c r="BD25" s="10">
        <f t="shared" si="36"/>
        <v>0.87542377536840565</v>
      </c>
      <c r="BF25" s="15"/>
      <c r="BG25" s="12">
        <v>125</v>
      </c>
      <c r="BH25">
        <v>0.8818727770975453</v>
      </c>
    </row>
    <row r="26" spans="2:60" s="4" customFormat="1" x14ac:dyDescent="0.25">
      <c r="B26" s="4" t="s">
        <v>109</v>
      </c>
      <c r="C26" s="5" t="s">
        <v>44</v>
      </c>
      <c r="D26" s="6">
        <f t="shared" si="37"/>
        <v>313.00000000000011</v>
      </c>
      <c r="E26" s="7">
        <f t="shared" si="50"/>
        <v>0.21736111111111117</v>
      </c>
      <c r="F26" s="7">
        <v>0.63611111111111118</v>
      </c>
      <c r="G26" s="8">
        <v>10.068899999999999</v>
      </c>
      <c r="H26" s="8">
        <v>18.898</v>
      </c>
      <c r="I26" s="8">
        <v>14.209</v>
      </c>
      <c r="J26" s="8">
        <f t="shared" si="1"/>
        <v>4.6890000000000001</v>
      </c>
      <c r="K26" s="8">
        <f t="shared" si="2"/>
        <v>4.1401000000000003</v>
      </c>
      <c r="L26" s="13">
        <v>129591</v>
      </c>
      <c r="M26" s="13">
        <v>21884</v>
      </c>
      <c r="N26" s="13">
        <v>4781969</v>
      </c>
      <c r="O26" s="13">
        <v>112441</v>
      </c>
      <c r="P26" s="13">
        <v>1979947</v>
      </c>
      <c r="Q26" s="5">
        <f t="shared" si="3"/>
        <v>17.390166138676392</v>
      </c>
      <c r="R26" s="5">
        <f t="shared" si="4"/>
        <v>4742.803877703207</v>
      </c>
      <c r="S26" s="5">
        <f t="shared" si="5"/>
        <v>66.934551164767413</v>
      </c>
      <c r="T26" s="5">
        <f t="shared" si="0"/>
        <v>5.49764E-4</v>
      </c>
      <c r="U26" s="5">
        <f t="shared" si="6"/>
        <v>378.01007887817701</v>
      </c>
      <c r="V26" s="5">
        <f t="shared" si="7"/>
        <v>2.1530764696295241E-2</v>
      </c>
      <c r="W26" s="5">
        <f t="shared" si="8"/>
        <v>2.8919535839653703</v>
      </c>
      <c r="X26" s="5">
        <f t="shared" si="9"/>
        <v>0.1210444423263654</v>
      </c>
      <c r="Y26" s="5">
        <f t="shared" si="10"/>
        <v>3.3196399611999997E-6</v>
      </c>
      <c r="Z26" s="5">
        <f t="shared" si="11"/>
        <v>0.24835262182296233</v>
      </c>
      <c r="AA26" s="5">
        <f t="shared" si="12"/>
        <v>9.9355236200099838E-4</v>
      </c>
      <c r="AB26" s="5">
        <f t="shared" si="13"/>
        <v>7.0193497390007471E-3</v>
      </c>
      <c r="AC26" s="5">
        <f t="shared" si="14"/>
        <v>7.2171845120654637E-2</v>
      </c>
      <c r="AD26" s="5">
        <f t="shared" si="15"/>
        <v>1.9271647161600002E-8</v>
      </c>
      <c r="AE26" s="5">
        <f t="shared" si="16"/>
        <v>9.0949224978089382E-3</v>
      </c>
      <c r="AF26" s="5">
        <f t="shared" si="17"/>
        <v>1.0507116179484873E-4</v>
      </c>
      <c r="AG26" s="5">
        <f t="shared" si="18"/>
        <v>1.3589431165068057E-2</v>
      </c>
      <c r="AH26" s="5">
        <f t="shared" si="19"/>
        <v>8.6637604605234962E-4</v>
      </c>
      <c r="AI26" s="5">
        <f t="shared" si="20"/>
        <v>1.5645578324480539E-8</v>
      </c>
      <c r="AJ26" s="5">
        <f t="shared" si="21"/>
        <v>1.2021793323610493E-3</v>
      </c>
      <c r="AK26" s="5">
        <f t="shared" si="22"/>
        <v>2.5378894663135844E-2</v>
      </c>
      <c r="AL26" s="5">
        <f t="shared" si="23"/>
        <v>3.282392011078973</v>
      </c>
      <c r="AM26" s="5">
        <f t="shared" si="24"/>
        <v>0.20926452164255682</v>
      </c>
      <c r="AN26" s="5">
        <f t="shared" si="25"/>
        <v>3.7790339181373728E-6</v>
      </c>
      <c r="AO26" s="5">
        <f t="shared" si="26"/>
        <v>0.29037446737060685</v>
      </c>
      <c r="AP26" s="5">
        <f t="shared" si="46"/>
        <v>2.5378894663135844E-2</v>
      </c>
      <c r="AQ26" s="5">
        <f t="shared" si="29"/>
        <v>3.282392011078973</v>
      </c>
      <c r="AR26" s="5">
        <f t="shared" si="47"/>
        <v>0.20170314019247276</v>
      </c>
      <c r="AS26" s="5">
        <f t="shared" si="31"/>
        <v>3.7790339181373728E-6</v>
      </c>
      <c r="AT26" s="5">
        <f t="shared" si="51"/>
        <v>0.28884113893451541</v>
      </c>
      <c r="AU26" s="4">
        <f>AP26</f>
        <v>2.5378894663135844E-2</v>
      </c>
      <c r="AV26" s="4">
        <f t="shared" ref="AV26:AY26" si="59">AQ26</f>
        <v>3.282392011078973</v>
      </c>
      <c r="AW26" s="4">
        <f t="shared" si="59"/>
        <v>0.20170314019247276</v>
      </c>
      <c r="AX26" s="4">
        <f t="shared" si="59"/>
        <v>3.7790339181373728E-6</v>
      </c>
      <c r="AY26" s="4">
        <f t="shared" si="59"/>
        <v>0.28884113893451541</v>
      </c>
      <c r="AZ26" s="4">
        <f t="shared" si="48"/>
        <v>1</v>
      </c>
      <c r="BA26" s="4">
        <f t="shared" si="49"/>
        <v>1</v>
      </c>
      <c r="BB26" s="4">
        <f t="shared" si="34"/>
        <v>1</v>
      </c>
      <c r="BC26" s="4">
        <f t="shared" si="45"/>
        <v>1</v>
      </c>
      <c r="BD26" s="4">
        <f t="shared" si="36"/>
        <v>1</v>
      </c>
      <c r="BF26" s="5"/>
      <c r="BG26" s="12">
        <v>140</v>
      </c>
      <c r="BH26">
        <v>0.88507958719608182</v>
      </c>
    </row>
    <row r="27" spans="2:60" x14ac:dyDescent="0.25">
      <c r="B27" s="10" t="s">
        <v>110</v>
      </c>
      <c r="C27" s="15" t="s">
        <v>117</v>
      </c>
      <c r="D27" s="12">
        <f t="shared" si="37"/>
        <v>317.00000000000006</v>
      </c>
      <c r="E27" s="9">
        <f t="shared" si="50"/>
        <v>0.22013888888888894</v>
      </c>
      <c r="F27" s="9">
        <v>0.63888888888888895</v>
      </c>
      <c r="G27" s="11">
        <v>10.076499999999999</v>
      </c>
      <c r="H27" s="11">
        <v>19.0273</v>
      </c>
      <c r="I27" s="11">
        <v>14.9251</v>
      </c>
      <c r="J27" s="11">
        <f t="shared" si="1"/>
        <v>4.1021999999999998</v>
      </c>
      <c r="K27" s="11">
        <f t="shared" si="2"/>
        <v>4.8486000000000011</v>
      </c>
      <c r="L27" s="19">
        <v>141352</v>
      </c>
      <c r="M27" s="20">
        <v>20261</v>
      </c>
      <c r="N27" s="16">
        <v>5481536</v>
      </c>
      <c r="O27" s="17">
        <v>130784</v>
      </c>
      <c r="P27" s="18">
        <v>2283830</v>
      </c>
      <c r="Q27" s="15">
        <f t="shared" si="3"/>
        <v>18.588177771439629</v>
      </c>
      <c r="R27" s="15">
        <f t="shared" si="4"/>
        <v>4376.0490814182094</v>
      </c>
      <c r="S27" s="15">
        <f t="shared" si="5"/>
        <v>77.012879431806724</v>
      </c>
      <c r="T27" s="15">
        <f t="shared" si="0"/>
        <v>6.2313600000000005E-4</v>
      </c>
      <c r="U27" s="15">
        <f t="shared" si="6"/>
        <v>435.90799451282248</v>
      </c>
      <c r="V27" s="15">
        <f t="shared" si="7"/>
        <v>2.3014022898819403E-2</v>
      </c>
      <c r="W27" s="15">
        <f t="shared" si="8"/>
        <v>2.6683226106208591</v>
      </c>
      <c r="X27" s="15">
        <f t="shared" si="9"/>
        <v>0.13927009116447928</v>
      </c>
      <c r="Y27" s="15">
        <f t="shared" si="10"/>
        <v>3.7626821088000001E-6</v>
      </c>
      <c r="Z27" s="15">
        <f t="shared" si="11"/>
        <v>0.28639155239492442</v>
      </c>
      <c r="AA27" s="15">
        <f t="shared" si="12"/>
        <v>1.0619983606156604E-3</v>
      </c>
      <c r="AB27" s="15">
        <f t="shared" si="13"/>
        <v>6.4765526404989499E-3</v>
      </c>
      <c r="AC27" s="15">
        <f t="shared" si="14"/>
        <v>8.3038752182948442E-2</v>
      </c>
      <c r="AD27" s="15">
        <f t="shared" si="15"/>
        <v>2.1843658598400002E-8</v>
      </c>
      <c r="AE27" s="15">
        <f t="shared" si="16"/>
        <v>1.048794634797851E-2</v>
      </c>
      <c r="AF27" s="15">
        <f t="shared" si="17"/>
        <v>9.9557329986818031E-5</v>
      </c>
      <c r="AG27" s="15">
        <f t="shared" si="18"/>
        <v>1.0977395226421612E-2</v>
      </c>
      <c r="AH27" s="15">
        <f t="shared" si="19"/>
        <v>9.7393546180917076E-4</v>
      </c>
      <c r="AI27" s="15">
        <f t="shared" si="20"/>
        <v>1.5541185709799564E-8</v>
      </c>
      <c r="AJ27" s="15">
        <f t="shared" si="21"/>
        <v>1.2256872828972675E-3</v>
      </c>
      <c r="AK27" s="15">
        <f t="shared" si="22"/>
        <v>2.053321164600462E-2</v>
      </c>
      <c r="AL27" s="15">
        <f t="shared" si="23"/>
        <v>2.2640339946420838</v>
      </c>
      <c r="AM27" s="15">
        <f t="shared" si="24"/>
        <v>0.20086941834945563</v>
      </c>
      <c r="AN27" s="15">
        <f t="shared" si="25"/>
        <v>3.2052934269272695E-6</v>
      </c>
      <c r="AO27" s="15">
        <f t="shared" si="26"/>
        <v>0.25279199828760202</v>
      </c>
      <c r="AP27" s="15">
        <f t="shared" si="46"/>
        <v>2.053321164600462E-2</v>
      </c>
      <c r="AQ27" s="15">
        <f t="shared" si="29"/>
        <v>2.2640339946420838</v>
      </c>
      <c r="AR27" s="15">
        <f t="shared" si="47"/>
        <v>0.19330803689937157</v>
      </c>
      <c r="AS27" s="15">
        <f t="shared" si="31"/>
        <v>3.2052934269272695E-6</v>
      </c>
      <c r="AT27" s="15">
        <f t="shared" si="51"/>
        <v>0.25125866985151057</v>
      </c>
      <c r="AU27" s="10">
        <f>$AU$26+(($AU$30-$AU$26)/($D$30-$D$26))*(D27-$D$26)</f>
        <v>2.5296840772048079E-2</v>
      </c>
      <c r="AV27" s="10">
        <f>$AV$26+(($AV$30-$AV$26)/($D$30-$D$26))*(D27-$D$26)</f>
        <v>3.2676708733560713</v>
      </c>
      <c r="AW27" s="10">
        <f>$AW$26+(($AW$30-$AW$26)/($D$30-$D$26))*(D27-$D$26)</f>
        <v>0.20136890942680538</v>
      </c>
      <c r="AX27" s="10">
        <f>$AX$26+(($AX$30-$AX$26)/($D$30-$D$26))*(D27-$D$26)</f>
        <v>3.7711189737040016E-6</v>
      </c>
      <c r="AY27" s="10">
        <f>$AY$26+(($AY$30-$AY$26)/($D$30-$D$26))*(D27-$D$26)</f>
        <v>0.28839281487339213</v>
      </c>
      <c r="AZ27" s="10">
        <f t="shared" si="48"/>
        <v>0.81169074949046349</v>
      </c>
      <c r="BA27" s="10">
        <f t="shared" si="49"/>
        <v>0.69285863919238622</v>
      </c>
      <c r="BB27" s="10">
        <f t="shared" si="34"/>
        <v>0.95996962713668654</v>
      </c>
      <c r="BC27" s="10">
        <f t="shared" si="45"/>
        <v>0.84995818198199757</v>
      </c>
      <c r="BD27" s="10">
        <f t="shared" si="36"/>
        <v>0.87123762068003019</v>
      </c>
      <c r="BF27" s="15"/>
      <c r="BG27" s="12">
        <v>141.00000000000006</v>
      </c>
      <c r="BH27">
        <v>0.79179056614774657</v>
      </c>
    </row>
    <row r="28" spans="2:60" x14ac:dyDescent="0.25">
      <c r="B28" s="10" t="s">
        <v>111</v>
      </c>
      <c r="C28" s="15" t="s">
        <v>117</v>
      </c>
      <c r="D28" s="12">
        <f t="shared" si="37"/>
        <v>368.00000000000006</v>
      </c>
      <c r="E28" s="9">
        <f>F28-$F$3</f>
        <v>0.25555555555555559</v>
      </c>
      <c r="F28" s="9">
        <v>0.6743055555555556</v>
      </c>
      <c r="G28" s="11">
        <v>9.9620999999999995</v>
      </c>
      <c r="H28" s="11">
        <v>18.859000000000002</v>
      </c>
      <c r="I28" s="11">
        <v>14.8352</v>
      </c>
      <c r="J28" s="11">
        <f t="shared" si="1"/>
        <v>4.0238000000000014</v>
      </c>
      <c r="K28" s="11">
        <f t="shared" si="2"/>
        <v>4.8731000000000009</v>
      </c>
      <c r="L28" s="19">
        <v>146808</v>
      </c>
      <c r="M28" s="20">
        <v>20947</v>
      </c>
      <c r="N28" s="16">
        <v>5459042</v>
      </c>
      <c r="O28" s="17">
        <v>138496</v>
      </c>
      <c r="P28" s="18">
        <v>2376491</v>
      </c>
      <c r="Q28" s="15">
        <f t="shared" si="3"/>
        <v>19.14394271220625</v>
      </c>
      <c r="R28" s="15">
        <f t="shared" si="4"/>
        <v>4531.0668203285659</v>
      </c>
      <c r="S28" s="15">
        <f t="shared" si="5"/>
        <v>76.688819097287251</v>
      </c>
      <c r="T28" s="15">
        <f t="shared" si="0"/>
        <v>6.5398400000000003E-4</v>
      </c>
      <c r="U28" s="15">
        <f t="shared" si="6"/>
        <v>453.56241664443854</v>
      </c>
      <c r="V28" s="15">
        <f t="shared" si="7"/>
        <v>2.3702115471982556E-2</v>
      </c>
      <c r="W28" s="15">
        <f t="shared" si="8"/>
        <v>2.7628456221515645</v>
      </c>
      <c r="X28" s="15">
        <f t="shared" si="9"/>
        <v>0.13868406045553427</v>
      </c>
      <c r="Y28" s="15">
        <f t="shared" si="10"/>
        <v>3.9489515871999993E-6</v>
      </c>
      <c r="Z28" s="15">
        <f t="shared" si="11"/>
        <v>0.29799050773539609</v>
      </c>
      <c r="AA28" s="15">
        <f t="shared" si="12"/>
        <v>1.0937508789764798E-3</v>
      </c>
      <c r="AB28" s="15">
        <f t="shared" si="13"/>
        <v>6.7059788940862777E-3</v>
      </c>
      <c r="AC28" s="15">
        <f t="shared" si="14"/>
        <v>8.2689335747554493E-2</v>
      </c>
      <c r="AD28" s="15">
        <f t="shared" si="15"/>
        <v>2.2925016729599999E-8</v>
      </c>
      <c r="AE28" s="15">
        <f t="shared" si="16"/>
        <v>1.0912711744465193E-2</v>
      </c>
      <c r="AF28" s="15">
        <f t="shared" si="17"/>
        <v>1.0070252964450372E-4</v>
      </c>
      <c r="AG28" s="15">
        <f t="shared" si="18"/>
        <v>1.1149817120162241E-2</v>
      </c>
      <c r="AH28" s="15">
        <f t="shared" si="19"/>
        <v>9.6099032449238695E-4</v>
      </c>
      <c r="AI28" s="15">
        <f t="shared" si="20"/>
        <v>1.6001507295600375E-8</v>
      </c>
      <c r="AJ28" s="15">
        <f t="shared" si="21"/>
        <v>1.2522329406276405E-3</v>
      </c>
      <c r="AK28" s="15">
        <f t="shared" si="22"/>
        <v>2.0664983202582279E-2</v>
      </c>
      <c r="AL28" s="15">
        <f t="shared" si="23"/>
        <v>2.2880337198420384</v>
      </c>
      <c r="AM28" s="15">
        <f t="shared" si="24"/>
        <v>0.19720307904463008</v>
      </c>
      <c r="AN28" s="15">
        <f t="shared" si="25"/>
        <v>3.283640248630312E-6</v>
      </c>
      <c r="AO28" s="15">
        <f t="shared" si="26"/>
        <v>0.25696844731847085</v>
      </c>
      <c r="AP28" s="15">
        <f t="shared" si="46"/>
        <v>2.0664983202582279E-2</v>
      </c>
      <c r="AQ28" s="15">
        <f t="shared" si="29"/>
        <v>2.2880337198420384</v>
      </c>
      <c r="AR28" s="15">
        <f t="shared" si="47"/>
        <v>0.18964169759454602</v>
      </c>
      <c r="AS28" s="15">
        <f t="shared" si="31"/>
        <v>3.283640248630312E-6</v>
      </c>
      <c r="AT28" s="15">
        <f t="shared" si="51"/>
        <v>0.25543511888237941</v>
      </c>
      <c r="AU28" s="10">
        <f>$AU$26+(($AU$30-$AU$26)/($D$30-$D$26))*(D28-$D$26)</f>
        <v>2.4250653660679074E-2</v>
      </c>
      <c r="AV28" s="10">
        <f t="shared" ref="AV28:AV29" si="60">$AV$26+(($AV$30-$AV$26)/($D$30-$D$26))*(D28-$D$26)</f>
        <v>3.0799763673890692</v>
      </c>
      <c r="AW28" s="10">
        <f t="shared" ref="AW28:AW29" si="61">$AW$26+(($AW$30-$AW$26)/($D$30-$D$26))*(D28-$D$26)</f>
        <v>0.1971074671645463</v>
      </c>
      <c r="AX28" s="10">
        <f t="shared" ref="AX28:AX29" si="62">$AX$26+(($AX$30-$AX$26)/($D$30-$D$26))*(D28-$D$26)</f>
        <v>3.6702034321785192E-6</v>
      </c>
      <c r="AY28" s="10">
        <f t="shared" ref="AY28:AY29" si="63">$AY$26+(($AY$30-$AY$26)/($D$30-$D$26))*(D28-$D$26)</f>
        <v>0.28267668309407051</v>
      </c>
      <c r="AZ28" s="10">
        <f t="shared" si="48"/>
        <v>0.85214128624043084</v>
      </c>
      <c r="BA28" s="10">
        <f t="shared" si="49"/>
        <v>0.7428737908731522</v>
      </c>
      <c r="BB28" s="10">
        <f t="shared" si="34"/>
        <v>0.96212335495251522</v>
      </c>
      <c r="BC28" s="10">
        <f t="shared" si="45"/>
        <v>0.89467527054249552</v>
      </c>
      <c r="BD28" s="10">
        <f t="shared" si="36"/>
        <v>0.90362995662211898</v>
      </c>
      <c r="BG28" s="12">
        <v>160</v>
      </c>
      <c r="BH28">
        <v>0.89557460206401951</v>
      </c>
    </row>
    <row r="29" spans="2:60" x14ac:dyDescent="0.25">
      <c r="B29" s="10" t="s">
        <v>112</v>
      </c>
      <c r="C29" s="15" t="s">
        <v>117</v>
      </c>
      <c r="D29" s="12">
        <f t="shared" si="37"/>
        <v>419.00000000000006</v>
      </c>
      <c r="E29" s="9">
        <f t="shared" ref="E29:E37" si="64">F29-$F$3</f>
        <v>0.29097222222222224</v>
      </c>
      <c r="F29" s="9">
        <v>0.70972222222222225</v>
      </c>
      <c r="G29" s="11">
        <v>10.062900000000001</v>
      </c>
      <c r="H29" s="11">
        <v>18.888300000000001</v>
      </c>
      <c r="I29" s="11">
        <v>14.672000000000001</v>
      </c>
      <c r="J29" s="11">
        <f t="shared" si="1"/>
        <v>4.2163000000000004</v>
      </c>
      <c r="K29" s="11">
        <f t="shared" si="2"/>
        <v>4.6090999999999998</v>
      </c>
      <c r="L29" s="19">
        <v>134563</v>
      </c>
      <c r="M29" s="20">
        <v>19448</v>
      </c>
      <c r="N29" s="16">
        <v>5245584</v>
      </c>
      <c r="O29" s="17">
        <v>126862</v>
      </c>
      <c r="P29" s="18">
        <v>2176311</v>
      </c>
      <c r="Q29" s="15">
        <f t="shared" si="3"/>
        <v>17.896629350826618</v>
      </c>
      <c r="R29" s="15">
        <f t="shared" si="4"/>
        <v>4192.332723205207</v>
      </c>
      <c r="S29" s="15">
        <f t="shared" si="5"/>
        <v>73.613631452321613</v>
      </c>
      <c r="T29" s="15">
        <f t="shared" si="0"/>
        <v>6.0744800000000012E-4</v>
      </c>
      <c r="U29" s="15">
        <f t="shared" si="6"/>
        <v>415.42272224974278</v>
      </c>
      <c r="V29" s="15">
        <f t="shared" si="7"/>
        <v>2.2157816799258438E-2</v>
      </c>
      <c r="W29" s="15">
        <f t="shared" si="8"/>
        <v>2.5563004409787848</v>
      </c>
      <c r="X29" s="15">
        <f t="shared" si="9"/>
        <v>0.13312289111837841</v>
      </c>
      <c r="Y29" s="15">
        <f t="shared" si="10"/>
        <v>3.6679532584000006E-6</v>
      </c>
      <c r="Z29" s="15">
        <f t="shared" si="11"/>
        <v>0.27293272851808104</v>
      </c>
      <c r="AA29" s="15">
        <f t="shared" si="12"/>
        <v>1.022488124700777E-3</v>
      </c>
      <c r="AB29" s="15">
        <f t="shared" si="13"/>
        <v>6.2046524303437066E-3</v>
      </c>
      <c r="AC29" s="15">
        <f t="shared" si="14"/>
        <v>7.9373530045308519E-2</v>
      </c>
      <c r="AD29" s="15">
        <f t="shared" si="15"/>
        <v>2.1293725171200003E-8</v>
      </c>
      <c r="AE29" s="15">
        <f t="shared" si="16"/>
        <v>9.995070697328811E-3</v>
      </c>
      <c r="AF29" s="15">
        <f t="shared" si="17"/>
        <v>9.8136752986271707E-5</v>
      </c>
      <c r="AG29" s="15">
        <f t="shared" si="18"/>
        <v>1.0806727412815549E-2</v>
      </c>
      <c r="AH29" s="15">
        <f t="shared" si="19"/>
        <v>9.2712658315425038E-4</v>
      </c>
      <c r="AI29" s="15">
        <f t="shared" si="20"/>
        <v>1.5563336232078504E-8</v>
      </c>
      <c r="AJ29" s="15">
        <f t="shared" si="21"/>
        <v>1.1968345436018434E-3</v>
      </c>
      <c r="AK29" s="15">
        <f t="shared" si="22"/>
        <v>2.1291955693361331E-2</v>
      </c>
      <c r="AL29" s="15">
        <f t="shared" si="23"/>
        <v>2.3446502381843635</v>
      </c>
      <c r="AM29" s="15">
        <f t="shared" si="24"/>
        <v>0.20115132740757424</v>
      </c>
      <c r="AN29" s="15">
        <f t="shared" si="25"/>
        <v>3.3766540608965971E-6</v>
      </c>
      <c r="AO29" s="15">
        <f t="shared" si="26"/>
        <v>0.2596677320088181</v>
      </c>
      <c r="AP29" s="15">
        <f t="shared" si="46"/>
        <v>2.1291955693361331E-2</v>
      </c>
      <c r="AQ29" s="15">
        <f t="shared" si="29"/>
        <v>2.3446502381843635</v>
      </c>
      <c r="AR29" s="15">
        <f t="shared" si="47"/>
        <v>0.19358994595749018</v>
      </c>
      <c r="AS29" s="15">
        <f t="shared" si="31"/>
        <v>3.3766540608965971E-6</v>
      </c>
      <c r="AT29" s="15">
        <f t="shared" si="51"/>
        <v>0.25813440357272666</v>
      </c>
      <c r="AU29" s="10">
        <f>$AU$26+(($AU$30-$AU$26)/($D$30-$D$26))*(D29-$D$26)</f>
        <v>2.320446654931007E-2</v>
      </c>
      <c r="AV29" s="10">
        <f t="shared" si="60"/>
        <v>2.8922818614220671</v>
      </c>
      <c r="AW29" s="10">
        <f t="shared" si="61"/>
        <v>0.19284602490228722</v>
      </c>
      <c r="AX29" s="10">
        <f t="shared" si="62"/>
        <v>3.5692878906530368E-6</v>
      </c>
      <c r="AY29" s="10">
        <f t="shared" si="63"/>
        <v>0.27696055131474884</v>
      </c>
      <c r="AZ29" s="10">
        <f t="shared" si="48"/>
        <v>0.91758005503446483</v>
      </c>
      <c r="BA29" s="10">
        <f t="shared" si="49"/>
        <v>0.81065758820323064</v>
      </c>
      <c r="BB29" s="10">
        <f t="shared" si="34"/>
        <v>1.0038575908193073</v>
      </c>
      <c r="BC29" s="10">
        <f t="shared" ref="BC29:BC37" si="65">AS29/AX29</f>
        <v>0.94603017866367867</v>
      </c>
      <c r="BD29" s="10">
        <f t="shared" si="36"/>
        <v>0.93202588725125912</v>
      </c>
      <c r="BF29" s="15"/>
      <c r="BG29" s="12">
        <v>161</v>
      </c>
      <c r="BH29">
        <v>0.94221911258818725</v>
      </c>
    </row>
    <row r="30" spans="2:60" s="4" customFormat="1" x14ac:dyDescent="0.25">
      <c r="B30" s="4" t="s">
        <v>113</v>
      </c>
      <c r="C30" s="5" t="s">
        <v>45</v>
      </c>
      <c r="D30" s="6">
        <f t="shared" si="37"/>
        <v>462.99999999999989</v>
      </c>
      <c r="E30" s="7">
        <f t="shared" si="64"/>
        <v>0.32152777777777769</v>
      </c>
      <c r="F30" s="7">
        <v>0.7402777777777777</v>
      </c>
      <c r="G30" s="8">
        <v>10.024900000000001</v>
      </c>
      <c r="H30" s="8">
        <v>19.055499999999999</v>
      </c>
      <c r="I30" s="8">
        <v>15.1022</v>
      </c>
      <c r="J30" s="8">
        <f t="shared" si="1"/>
        <v>3.9532999999999987</v>
      </c>
      <c r="K30" s="8">
        <f t="shared" si="2"/>
        <v>5.0772999999999993</v>
      </c>
      <c r="L30" s="13">
        <v>173276</v>
      </c>
      <c r="M30" s="13">
        <v>26266</v>
      </c>
      <c r="N30" s="13">
        <v>5628198</v>
      </c>
      <c r="O30" s="13">
        <v>158793</v>
      </c>
      <c r="P30" s="13">
        <v>2676616</v>
      </c>
      <c r="Q30" s="5">
        <f t="shared" si="3"/>
        <v>21.84005459860855</v>
      </c>
      <c r="R30" s="5">
        <f t="shared" si="4"/>
        <v>5733.0192303346666</v>
      </c>
      <c r="S30" s="5">
        <f t="shared" si="5"/>
        <v>79.12576894817974</v>
      </c>
      <c r="T30" s="5">
        <f t="shared" si="0"/>
        <v>7.3517200000000008E-4</v>
      </c>
      <c r="U30" s="5">
        <f t="shared" si="6"/>
        <v>510.74433182181917</v>
      </c>
      <c r="V30" s="5">
        <f t="shared" si="7"/>
        <v>2.7040171598537246E-2</v>
      </c>
      <c r="W30" s="5">
        <f t="shared" si="8"/>
        <v>3.4957434331308943</v>
      </c>
      <c r="X30" s="5">
        <f t="shared" si="9"/>
        <v>0.14309104056588826</v>
      </c>
      <c r="Y30" s="5">
        <f t="shared" si="10"/>
        <v>4.4391890875999997E-6</v>
      </c>
      <c r="Z30" s="5">
        <f t="shared" si="11"/>
        <v>0.33555902600693527</v>
      </c>
      <c r="AA30" s="5">
        <f t="shared" si="12"/>
        <v>1.2477878393823021E-3</v>
      </c>
      <c r="AB30" s="5">
        <f t="shared" si="13"/>
        <v>8.4848684608953076E-3</v>
      </c>
      <c r="AC30" s="5">
        <f t="shared" si="14"/>
        <v>8.5316964739530071E-2</v>
      </c>
      <c r="AD30" s="5">
        <f t="shared" si="15"/>
        <v>2.5771013356800003E-8</v>
      </c>
      <c r="AE30" s="5">
        <f t="shared" si="16"/>
        <v>1.2288508623632968E-2</v>
      </c>
      <c r="AF30" s="5">
        <f t="shared" si="17"/>
        <v>1.1323330357739302E-4</v>
      </c>
      <c r="AG30" s="5">
        <f t="shared" si="18"/>
        <v>1.3862802736832864E-2</v>
      </c>
      <c r="AH30" s="5">
        <f t="shared" si="19"/>
        <v>9.9886163574114178E-4</v>
      </c>
      <c r="AI30" s="5">
        <f t="shared" si="20"/>
        <v>1.7680293386125552E-8</v>
      </c>
      <c r="AJ30" s="5">
        <f t="shared" si="21"/>
        <v>1.3889579423479886E-3</v>
      </c>
      <c r="AK30" s="5">
        <f t="shared" si="22"/>
        <v>2.2301873747344658E-2</v>
      </c>
      <c r="AL30" s="5">
        <f t="shared" si="23"/>
        <v>2.7303493464701445</v>
      </c>
      <c r="AM30" s="5">
        <f t="shared" si="24"/>
        <v>0.19673086793003011</v>
      </c>
      <c r="AN30" s="5">
        <f t="shared" si="25"/>
        <v>3.482223501885954E-6</v>
      </c>
      <c r="AO30" s="5">
        <f t="shared" si="26"/>
        <v>0.27356231507848439</v>
      </c>
      <c r="AP30" s="5">
        <f t="shared" si="46"/>
        <v>2.2301873747344658E-2</v>
      </c>
      <c r="AQ30" s="5">
        <f t="shared" si="29"/>
        <v>2.7303493464701445</v>
      </c>
      <c r="AR30" s="5">
        <f t="shared" si="47"/>
        <v>0.18916948647994605</v>
      </c>
      <c r="AS30" s="5">
        <f t="shared" si="31"/>
        <v>3.482223501885954E-6</v>
      </c>
      <c r="AT30" s="5">
        <f t="shared" si="51"/>
        <v>0.27202898664239294</v>
      </c>
      <c r="AU30" s="4">
        <f>AP30</f>
        <v>2.2301873747344658E-2</v>
      </c>
      <c r="AV30" s="4">
        <f t="shared" ref="AV30:AY30" si="66">AQ30</f>
        <v>2.7303493464701445</v>
      </c>
      <c r="AW30" s="4">
        <f t="shared" si="66"/>
        <v>0.18916948647994605</v>
      </c>
      <c r="AX30" s="4">
        <f t="shared" si="66"/>
        <v>3.482223501885954E-6</v>
      </c>
      <c r="AY30" s="4">
        <f t="shared" si="66"/>
        <v>0.27202898664239294</v>
      </c>
      <c r="AZ30" s="4">
        <f t="shared" si="48"/>
        <v>1</v>
      </c>
      <c r="BA30" s="4">
        <f t="shared" si="49"/>
        <v>1</v>
      </c>
      <c r="BB30" s="4">
        <f t="shared" si="34"/>
        <v>1</v>
      </c>
      <c r="BC30" s="4">
        <f t="shared" si="65"/>
        <v>1</v>
      </c>
      <c r="BD30" s="4">
        <f t="shared" si="36"/>
        <v>1</v>
      </c>
      <c r="BG30" s="12">
        <v>180</v>
      </c>
      <c r="BH30">
        <v>0.91423240627368663</v>
      </c>
    </row>
    <row r="31" spans="2:60" x14ac:dyDescent="0.25">
      <c r="B31" s="10" t="s">
        <v>114</v>
      </c>
      <c r="C31" s="15" t="s">
        <v>117</v>
      </c>
      <c r="D31" s="12">
        <f t="shared" si="37"/>
        <v>466.99999999999989</v>
      </c>
      <c r="E31" s="9">
        <f t="shared" si="64"/>
        <v>0.32430555555555546</v>
      </c>
      <c r="F31" s="9">
        <v>0.74305555555555547</v>
      </c>
      <c r="G31" s="11">
        <v>10.0853</v>
      </c>
      <c r="H31" s="11">
        <v>18.903099999999998</v>
      </c>
      <c r="I31" s="11">
        <v>14.5412</v>
      </c>
      <c r="J31" s="11">
        <f t="shared" si="1"/>
        <v>4.3618999999999986</v>
      </c>
      <c r="K31" s="11">
        <f t="shared" si="2"/>
        <v>4.4558999999999997</v>
      </c>
      <c r="L31" s="19">
        <v>126094</v>
      </c>
      <c r="M31" s="20">
        <v>19744</v>
      </c>
      <c r="N31" s="16">
        <v>5191633</v>
      </c>
      <c r="O31" s="17">
        <v>119693</v>
      </c>
      <c r="P31" s="18">
        <v>2071159</v>
      </c>
      <c r="Q31" s="15">
        <f t="shared" si="3"/>
        <v>17.03395096311538</v>
      </c>
      <c r="R31" s="15">
        <f t="shared" si="4"/>
        <v>4259.2208437846029</v>
      </c>
      <c r="S31" s="15">
        <f t="shared" si="5"/>
        <v>72.83638511518015</v>
      </c>
      <c r="T31" s="15">
        <f t="shared" si="0"/>
        <v>5.7877200000000008E-4</v>
      </c>
      <c r="U31" s="15">
        <f t="shared" si="6"/>
        <v>395.38842739016116</v>
      </c>
      <c r="V31" s="15">
        <f t="shared" si="7"/>
        <v>2.1089734687433154E-2</v>
      </c>
      <c r="W31" s="15">
        <f t="shared" si="8"/>
        <v>2.5970858803564654</v>
      </c>
      <c r="X31" s="15">
        <f t="shared" si="9"/>
        <v>0.13171731884229176</v>
      </c>
      <c r="Y31" s="15">
        <f t="shared" si="10"/>
        <v>3.4947989676000002E-6</v>
      </c>
      <c r="Z31" s="15">
        <f t="shared" si="11"/>
        <v>0.25977019679533592</v>
      </c>
      <c r="AA31" s="15">
        <f t="shared" si="12"/>
        <v>9.7320072037567114E-4</v>
      </c>
      <c r="AB31" s="15">
        <f t="shared" si="13"/>
        <v>6.3036468488012129E-3</v>
      </c>
      <c r="AC31" s="15">
        <f t="shared" si="14"/>
        <v>7.8535468068517425E-2</v>
      </c>
      <c r="AD31" s="15">
        <f t="shared" si="15"/>
        <v>2.0288505196800004E-8</v>
      </c>
      <c r="AE31" s="15">
        <f t="shared" si="16"/>
        <v>9.5130455630072774E-3</v>
      </c>
      <c r="AF31" s="15">
        <f t="shared" si="17"/>
        <v>9.6327798823036596E-5</v>
      </c>
      <c r="AG31" s="15">
        <f t="shared" si="18"/>
        <v>1.1356317321520436E-2</v>
      </c>
      <c r="AH31" s="15">
        <f t="shared" si="19"/>
        <v>9.2448396522469903E-4</v>
      </c>
      <c r="AI31" s="15">
        <f t="shared" si="20"/>
        <v>1.5334367167080857E-8</v>
      </c>
      <c r="AJ31" s="15">
        <f t="shared" si="21"/>
        <v>1.1754808011257794E-3</v>
      </c>
      <c r="AK31" s="15">
        <f t="shared" si="22"/>
        <v>2.1618034251898968E-2</v>
      </c>
      <c r="AL31" s="15">
        <f t="shared" si="23"/>
        <v>2.5486023747212543</v>
      </c>
      <c r="AM31" s="15">
        <f t="shared" si="24"/>
        <v>0.2074741276116383</v>
      </c>
      <c r="AN31" s="15">
        <f t="shared" si="25"/>
        <v>3.4413625007475164E-6</v>
      </c>
      <c r="AO31" s="15">
        <f t="shared" si="26"/>
        <v>0.26380322743458773</v>
      </c>
      <c r="AP31" s="15">
        <f t="shared" si="46"/>
        <v>2.1618034251898968E-2</v>
      </c>
      <c r="AQ31" s="15">
        <f t="shared" si="29"/>
        <v>2.5486023747212543</v>
      </c>
      <c r="AR31" s="15">
        <f t="shared" si="47"/>
        <v>0.19991274616155424</v>
      </c>
      <c r="AS31" s="15">
        <f t="shared" si="31"/>
        <v>3.4413625007475164E-6</v>
      </c>
      <c r="AT31" s="15">
        <f t="shared" si="51"/>
        <v>0.26226989899849629</v>
      </c>
      <c r="AU31" s="10">
        <f>$AU$30+(($AU$34-$AU$30)/($D$34-$D$30))*(D31-$D$30)</f>
        <v>2.2310033680151012E-2</v>
      </c>
      <c r="AV31" s="10">
        <f>$AV$30+(($AV$34-$AV$30)/($D$34-$D$30))*(D31-$D$30)</f>
        <v>2.7268091318493637</v>
      </c>
      <c r="AW31" s="10">
        <f>$AW$30+(($AW$34-$AW$30)/($D$34-$D$30))*(D31-$D$30)</f>
        <v>0.18928133213997747</v>
      </c>
      <c r="AX31" s="10">
        <f>$AX$30+(($AX$34-$AX$30)/($D$34-$D$30))*(D31-$D$30)</f>
        <v>3.4893509480715632E-6</v>
      </c>
      <c r="AY31" s="10">
        <f>$AY$30+(($AY$34-$AY$30)/($D$34-$D$30))*(D31-$D$30)</f>
        <v>0.27203662336134893</v>
      </c>
      <c r="AZ31" s="10">
        <f t="shared" si="48"/>
        <v>0.96898259150241861</v>
      </c>
      <c r="BA31" s="10">
        <f t="shared" si="49"/>
        <v>0.93464641325766473</v>
      </c>
      <c r="BB31" s="10">
        <f>AR31/AW31</f>
        <v>1.0561672611946467</v>
      </c>
      <c r="BC31" s="10">
        <f t="shared" si="65"/>
        <v>0.98624717088128722</v>
      </c>
      <c r="BD31" s="10">
        <f t="shared" si="36"/>
        <v>0.96409775918340446</v>
      </c>
      <c r="BF31" s="15"/>
      <c r="BG31" s="12">
        <v>182.00000000000009</v>
      </c>
      <c r="BH31">
        <v>0.96408372689639088</v>
      </c>
    </row>
    <row r="32" spans="2:60" x14ac:dyDescent="0.25">
      <c r="B32" s="10" t="s">
        <v>115</v>
      </c>
      <c r="C32" s="15" t="s">
        <v>117</v>
      </c>
      <c r="D32" s="12">
        <f t="shared" si="37"/>
        <v>525</v>
      </c>
      <c r="E32" s="9">
        <f t="shared" si="64"/>
        <v>0.36458333333333331</v>
      </c>
      <c r="F32" s="9">
        <v>0.78333333333333333</v>
      </c>
      <c r="G32" s="11">
        <v>9.9430999999999994</v>
      </c>
      <c r="H32" s="11">
        <v>18.929300000000001</v>
      </c>
      <c r="I32" s="11">
        <v>14.6988</v>
      </c>
      <c r="J32" s="11">
        <f t="shared" si="1"/>
        <v>4.230500000000001</v>
      </c>
      <c r="K32" s="11">
        <f t="shared" si="2"/>
        <v>4.7557000000000009</v>
      </c>
      <c r="L32" s="19">
        <v>135402</v>
      </c>
      <c r="M32" s="20">
        <v>18484</v>
      </c>
      <c r="N32" s="16">
        <v>5137077</v>
      </c>
      <c r="O32" s="17">
        <v>127677</v>
      </c>
      <c r="P32" s="18">
        <v>2179677</v>
      </c>
      <c r="Q32" s="15">
        <f t="shared" si="3"/>
        <v>17.982092471300078</v>
      </c>
      <c r="R32" s="15">
        <f t="shared" si="4"/>
        <v>3974.4943845614989</v>
      </c>
      <c r="S32" s="15">
        <f t="shared" si="5"/>
        <v>72.050422831458079</v>
      </c>
      <c r="T32" s="15">
        <f t="shared" si="0"/>
        <v>6.1070800000000006E-4</v>
      </c>
      <c r="U32" s="15">
        <f t="shared" si="6"/>
        <v>416.06403612391875</v>
      </c>
      <c r="V32" s="15">
        <f t="shared" si="7"/>
        <v>2.2263628688716626E-2</v>
      </c>
      <c r="W32" s="15">
        <f t="shared" si="8"/>
        <v>2.4234721857082309</v>
      </c>
      <c r="X32" s="15">
        <f t="shared" si="9"/>
        <v>0.13029598464840877</v>
      </c>
      <c r="Y32" s="15">
        <f t="shared" si="10"/>
        <v>3.6876381164000001E-6</v>
      </c>
      <c r="Z32" s="15">
        <f t="shared" si="11"/>
        <v>0.27335407173341464</v>
      </c>
      <c r="AA32" s="15">
        <f t="shared" si="12"/>
        <v>1.0273708891627876E-3</v>
      </c>
      <c r="AB32" s="15">
        <f t="shared" si="13"/>
        <v>5.882251689151019E-3</v>
      </c>
      <c r="AC32" s="15">
        <f t="shared" si="14"/>
        <v>7.7688008165905528E-2</v>
      </c>
      <c r="AD32" s="15">
        <f t="shared" si="15"/>
        <v>2.1408002515200004E-8</v>
      </c>
      <c r="AE32" s="15">
        <f t="shared" si="16"/>
        <v>1.0010500709141485E-2</v>
      </c>
      <c r="AF32" s="15">
        <f t="shared" si="17"/>
        <v>9.9072148905207191E-5</v>
      </c>
      <c r="AG32" s="15">
        <f t="shared" si="18"/>
        <v>1.0280473305996768E-2</v>
      </c>
      <c r="AH32" s="15">
        <f t="shared" si="19"/>
        <v>9.2067802348969052E-4</v>
      </c>
      <c r="AI32" s="15">
        <f t="shared" si="20"/>
        <v>1.570236308899174E-8</v>
      </c>
      <c r="AJ32" s="15">
        <f t="shared" si="21"/>
        <v>1.2040313386906751E-3</v>
      </c>
      <c r="AK32" s="15">
        <f t="shared" si="22"/>
        <v>2.0832295751457657E-2</v>
      </c>
      <c r="AL32" s="15">
        <f t="shared" si="23"/>
        <v>2.161716110351108</v>
      </c>
      <c r="AM32" s="15">
        <f t="shared" si="24"/>
        <v>0.19359463874712246</v>
      </c>
      <c r="AN32" s="15">
        <f t="shared" si="25"/>
        <v>3.3017984921235016E-6</v>
      </c>
      <c r="AO32" s="15">
        <f t="shared" si="26"/>
        <v>0.25317647006553706</v>
      </c>
      <c r="AP32" s="15">
        <f t="shared" si="46"/>
        <v>2.0832295751457657E-2</v>
      </c>
      <c r="AQ32" s="15">
        <f t="shared" si="29"/>
        <v>2.161716110351108</v>
      </c>
      <c r="AR32" s="15">
        <f t="shared" si="47"/>
        <v>0.1860332572970384</v>
      </c>
      <c r="AS32" s="15">
        <f t="shared" si="31"/>
        <v>3.3017984921235016E-6</v>
      </c>
      <c r="AT32" s="15">
        <f t="shared" si="51"/>
        <v>0.25164314162944562</v>
      </c>
      <c r="AU32" s="10">
        <f t="shared" ref="AU32:AU33" si="67">$AU$30+(($AU$34-$AU$30)/($D$34-$D$30))*(D32-$D$30)</f>
        <v>2.2428352705843146E-2</v>
      </c>
      <c r="AV32" s="10">
        <f t="shared" ref="AV32:AV33" si="68">$AV$30+(($AV$34-$AV$30)/($D$34-$D$30))*(D32-$D$30)</f>
        <v>2.6754760198480443</v>
      </c>
      <c r="AW32" s="10">
        <f t="shared" ref="AW32:AW33" si="69">$AW$30+(($AW$34-$AW$30)/($D$34-$D$30))*(D32-$D$30)</f>
        <v>0.19090309421043303</v>
      </c>
      <c r="AX32" s="10">
        <f t="shared" ref="AX32:AX33" si="70">$AX$30+(($AX$34-$AX$30)/($D$34-$D$30))*(D32-$D$30)</f>
        <v>3.5926989177628981E-6</v>
      </c>
      <c r="AY32" s="10">
        <f t="shared" ref="AY32:AY33" si="71">$AY$30+(($AY$34-$AY$30)/($D$34-$D$30))*(D32-$D$30)</f>
        <v>0.27214735578621063</v>
      </c>
      <c r="AZ32" s="10">
        <f t="shared" si="48"/>
        <v>0.92883753098952837</v>
      </c>
      <c r="BA32" s="10">
        <f t="shared" si="49"/>
        <v>0.80797439196404541</v>
      </c>
      <c r="BB32" s="10">
        <f t="shared" si="34"/>
        <v>0.97449052916854983</v>
      </c>
      <c r="BC32" s="10">
        <f t="shared" si="65"/>
        <v>0.9190301129323315</v>
      </c>
      <c r="BD32" s="10">
        <f t="shared" si="36"/>
        <v>0.92465767636238805</v>
      </c>
      <c r="BG32" s="12">
        <v>200</v>
      </c>
      <c r="BH32">
        <v>0.94017841525275503</v>
      </c>
    </row>
    <row r="33" spans="2:60" x14ac:dyDescent="0.25">
      <c r="B33" s="10" t="s">
        <v>116</v>
      </c>
      <c r="C33" s="15" t="s">
        <v>117</v>
      </c>
      <c r="D33" s="12">
        <f t="shared" si="37"/>
        <v>590.99999999999989</v>
      </c>
      <c r="E33" s="9">
        <f t="shared" si="64"/>
        <v>0.4104166666666666</v>
      </c>
      <c r="F33" s="9">
        <v>0.82916666666666661</v>
      </c>
      <c r="G33" s="11">
        <v>9.9065999999999992</v>
      </c>
      <c r="H33" s="11">
        <v>19.0169</v>
      </c>
      <c r="I33" s="11">
        <v>14.880599999999999</v>
      </c>
      <c r="J33" s="11">
        <f t="shared" si="1"/>
        <v>4.1363000000000003</v>
      </c>
      <c r="K33" s="11">
        <f t="shared" si="2"/>
        <v>4.9740000000000002</v>
      </c>
      <c r="L33" s="19">
        <v>141894</v>
      </c>
      <c r="M33" s="20">
        <v>18646</v>
      </c>
      <c r="N33" s="16">
        <v>5391406</v>
      </c>
      <c r="O33" s="17">
        <v>134952</v>
      </c>
      <c r="P33" s="18">
        <v>2278280</v>
      </c>
      <c r="Q33" s="15">
        <f t="shared" si="3"/>
        <v>18.643387558443941</v>
      </c>
      <c r="R33" s="15">
        <f t="shared" si="4"/>
        <v>4011.1020721758982</v>
      </c>
      <c r="S33" s="15">
        <f t="shared" si="5"/>
        <v>75.714419489144689</v>
      </c>
      <c r="T33" s="15">
        <f t="shared" si="0"/>
        <v>6.3980800000000007E-4</v>
      </c>
      <c r="U33" s="15">
        <f t="shared" si="6"/>
        <v>434.85056967572308</v>
      </c>
      <c r="V33" s="15">
        <f t="shared" si="7"/>
        <v>2.3082378136109444E-2</v>
      </c>
      <c r="W33" s="15">
        <f t="shared" si="8"/>
        <v>2.4457939464487186</v>
      </c>
      <c r="X33" s="15">
        <f t="shared" si="9"/>
        <v>0.13692195620416925</v>
      </c>
      <c r="Y33" s="15">
        <f t="shared" si="10"/>
        <v>3.8633526464E-6</v>
      </c>
      <c r="Z33" s="15">
        <f t="shared" si="11"/>
        <v>0.28569682427695009</v>
      </c>
      <c r="AA33" s="15">
        <f t="shared" si="12"/>
        <v>1.0651526613765776E-3</v>
      </c>
      <c r="AB33" s="15">
        <f t="shared" si="13"/>
        <v>5.9364310668203286E-3</v>
      </c>
      <c r="AC33" s="15">
        <f t="shared" si="14"/>
        <v>8.1638694242072818E-2</v>
      </c>
      <c r="AD33" s="15">
        <f t="shared" si="15"/>
        <v>2.2428085555200002E-8</v>
      </c>
      <c r="AE33" s="15">
        <f t="shared" si="16"/>
        <v>1.0462504706397896E-2</v>
      </c>
      <c r="AF33" s="15">
        <f t="shared" si="17"/>
        <v>1.0077371002207661E-4</v>
      </c>
      <c r="AG33" s="15">
        <f t="shared" si="18"/>
        <v>1.01460653088222E-2</v>
      </c>
      <c r="AH33" s="15">
        <f t="shared" si="19"/>
        <v>9.7242115260737553E-4</v>
      </c>
      <c r="AI33" s="15">
        <f t="shared" si="20"/>
        <v>1.6091542848855887E-8</v>
      </c>
      <c r="AJ33" s="15">
        <f t="shared" si="21"/>
        <v>1.2337682726663718E-3</v>
      </c>
      <c r="AK33" s="15">
        <f t="shared" si="22"/>
        <v>2.0260094495793447E-2</v>
      </c>
      <c r="AL33" s="15">
        <f t="shared" si="23"/>
        <v>2.0398201264218336</v>
      </c>
      <c r="AM33" s="15">
        <f t="shared" si="24"/>
        <v>0.19550083486276146</v>
      </c>
      <c r="AN33" s="15">
        <f t="shared" si="25"/>
        <v>3.2351312522830492E-6</v>
      </c>
      <c r="AO33" s="15">
        <f t="shared" si="26"/>
        <v>0.24804348063256368</v>
      </c>
      <c r="AP33" s="15">
        <f t="shared" si="46"/>
        <v>2.0260094495793447E-2</v>
      </c>
      <c r="AQ33" s="15">
        <f t="shared" si="29"/>
        <v>2.0398201264218336</v>
      </c>
      <c r="AR33" s="15">
        <f t="shared" si="47"/>
        <v>0.1879394534126774</v>
      </c>
      <c r="AS33" s="15">
        <f t="shared" si="31"/>
        <v>3.2351312522830492E-6</v>
      </c>
      <c r="AT33" s="15">
        <f t="shared" si="51"/>
        <v>0.24651015219647224</v>
      </c>
      <c r="AU33" s="10">
        <f t="shared" si="67"/>
        <v>2.2562991597147988E-2</v>
      </c>
      <c r="AV33" s="10">
        <f t="shared" si="68"/>
        <v>2.6170624786051637</v>
      </c>
      <c r="AW33" s="10">
        <f t="shared" si="69"/>
        <v>0.19274854760095145</v>
      </c>
      <c r="AX33" s="10">
        <f t="shared" si="70"/>
        <v>3.710301779825451E-6</v>
      </c>
      <c r="AY33" s="10">
        <f t="shared" si="71"/>
        <v>0.2722733616489843</v>
      </c>
      <c r="AZ33" s="10">
        <f t="shared" si="48"/>
        <v>0.89793476226593849</v>
      </c>
      <c r="BA33" s="10">
        <f t="shared" si="49"/>
        <v>0.77943119168825215</v>
      </c>
      <c r="BB33" s="10">
        <f t="shared" si="34"/>
        <v>0.97504990699992022</v>
      </c>
      <c r="BC33" s="10">
        <f t="shared" si="65"/>
        <v>0.87193210802255661</v>
      </c>
      <c r="BD33" s="10">
        <f t="shared" si="36"/>
        <v>0.90537741446140418</v>
      </c>
      <c r="BF33" s="15"/>
      <c r="BG33" s="12">
        <v>204</v>
      </c>
      <c r="BH33">
        <v>0.95796163489009389</v>
      </c>
    </row>
    <row r="34" spans="2:60" s="4" customFormat="1" x14ac:dyDescent="0.25">
      <c r="B34" s="4" t="s">
        <v>0</v>
      </c>
      <c r="C34" s="5" t="s">
        <v>46</v>
      </c>
      <c r="D34" s="6">
        <f t="shared" si="37"/>
        <v>609</v>
      </c>
      <c r="E34" s="7">
        <f t="shared" si="64"/>
        <v>0.42291666666666666</v>
      </c>
      <c r="F34" s="7">
        <v>0.84166666666666667</v>
      </c>
      <c r="G34" s="8">
        <v>10.018599999999999</v>
      </c>
      <c r="H34" s="8">
        <v>18.956299999999999</v>
      </c>
      <c r="I34" s="8">
        <v>14.784700000000001</v>
      </c>
      <c r="J34" s="8">
        <f t="shared" si="1"/>
        <v>4.171599999999998</v>
      </c>
      <c r="K34" s="8">
        <f t="shared" si="2"/>
        <v>4.7661000000000016</v>
      </c>
      <c r="L34" s="13">
        <v>153351</v>
      </c>
      <c r="M34" s="13">
        <v>22404</v>
      </c>
      <c r="N34" s="13">
        <v>5373970</v>
      </c>
      <c r="O34" s="13">
        <v>150858</v>
      </c>
      <c r="P34" s="13">
        <v>2394956</v>
      </c>
      <c r="Q34" s="5">
        <f t="shared" si="3"/>
        <v>19.810432816208451</v>
      </c>
      <c r="R34" s="5">
        <f t="shared" si="4"/>
        <v>4860.3100354778207</v>
      </c>
      <c r="S34" s="5">
        <f t="shared" si="5"/>
        <v>75.463227349343782</v>
      </c>
      <c r="T34" s="5">
        <f t="shared" si="0"/>
        <v>7.0343200000000004E-4</v>
      </c>
      <c r="U34" s="5">
        <f t="shared" si="6"/>
        <v>457.08049765651793</v>
      </c>
      <c r="V34" s="5">
        <f t="shared" si="7"/>
        <v>2.4527296869747684E-2</v>
      </c>
      <c r="W34" s="5">
        <f t="shared" si="8"/>
        <v>2.963603680169403</v>
      </c>
      <c r="X34" s="5">
        <f t="shared" si="9"/>
        <v>0.13646770033855329</v>
      </c>
      <c r="Y34" s="5">
        <f t="shared" si="10"/>
        <v>4.2475334455999997E-6</v>
      </c>
      <c r="Z34" s="5">
        <f t="shared" si="11"/>
        <v>0.30030188696033233</v>
      </c>
      <c r="AA34" s="5">
        <f t="shared" si="12"/>
        <v>1.1318294580884374E-3</v>
      </c>
      <c r="AB34" s="5">
        <f t="shared" si="13"/>
        <v>7.1932588525071752E-3</v>
      </c>
      <c r="AC34" s="5">
        <f t="shared" si="14"/>
        <v>8.1367847573293184E-2</v>
      </c>
      <c r="AD34" s="5">
        <f t="shared" si="15"/>
        <v>2.4658386700800003E-8</v>
      </c>
      <c r="AE34" s="5">
        <f t="shared" si="16"/>
        <v>1.0997356773615822E-2</v>
      </c>
      <c r="AF34" s="5">
        <f t="shared" si="17"/>
        <v>1.077124840020347E-4</v>
      </c>
      <c r="AG34" s="5">
        <f t="shared" si="18"/>
        <v>1.2397252903211611E-2</v>
      </c>
      <c r="AH34" s="5">
        <f t="shared" si="19"/>
        <v>9.5709595705138143E-4</v>
      </c>
      <c r="AI34" s="5">
        <f t="shared" si="20"/>
        <v>1.7836534858519634E-8</v>
      </c>
      <c r="AJ34" s="5">
        <f t="shared" si="21"/>
        <v>1.3051538537624523E-3</v>
      </c>
      <c r="AK34" s="5">
        <f t="shared" si="22"/>
        <v>2.2599711294776583E-2</v>
      </c>
      <c r="AL34" s="5">
        <f t="shared" si="23"/>
        <v>2.6011315128116506</v>
      </c>
      <c r="AM34" s="5">
        <f t="shared" si="24"/>
        <v>0.20081323452117689</v>
      </c>
      <c r="AN34" s="5">
        <f t="shared" si="25"/>
        <v>3.7423752876606931E-6</v>
      </c>
      <c r="AO34" s="5">
        <f t="shared" si="26"/>
        <v>0.27384105532037767</v>
      </c>
      <c r="AP34" s="5">
        <f t="shared" si="46"/>
        <v>2.2599711294776583E-2</v>
      </c>
      <c r="AQ34" s="5">
        <f t="shared" si="29"/>
        <v>2.6011315128116506</v>
      </c>
      <c r="AR34" s="5">
        <f t="shared" si="47"/>
        <v>0.19325185307109283</v>
      </c>
      <c r="AS34" s="5">
        <f t="shared" si="31"/>
        <v>3.7423752876606931E-6</v>
      </c>
      <c r="AT34" s="5">
        <f t="shared" si="51"/>
        <v>0.27230772688428623</v>
      </c>
      <c r="AU34" s="4">
        <f>AP34</f>
        <v>2.2599711294776583E-2</v>
      </c>
      <c r="AV34" s="4">
        <f t="shared" ref="AV34:AY34" si="72">AQ34</f>
        <v>2.6011315128116506</v>
      </c>
      <c r="AW34" s="4">
        <f t="shared" si="72"/>
        <v>0.19325185307109283</v>
      </c>
      <c r="AX34" s="4">
        <f t="shared" si="72"/>
        <v>3.7423752876606931E-6</v>
      </c>
      <c r="AY34" s="4">
        <f t="shared" si="72"/>
        <v>0.27230772688428623</v>
      </c>
      <c r="AZ34" s="4">
        <f t="shared" si="48"/>
        <v>1</v>
      </c>
      <c r="BA34" s="4">
        <f t="shared" si="49"/>
        <v>1</v>
      </c>
      <c r="BB34" s="4">
        <f t="shared" si="34"/>
        <v>1</v>
      </c>
      <c r="BC34" s="4">
        <f t="shared" si="65"/>
        <v>1</v>
      </c>
      <c r="BD34" s="4">
        <f t="shared" si="36"/>
        <v>1</v>
      </c>
      <c r="BG34" s="12">
        <v>231.00000000000006</v>
      </c>
      <c r="BH34">
        <v>0.95621246574543761</v>
      </c>
    </row>
    <row r="35" spans="2:60" x14ac:dyDescent="0.25">
      <c r="B35" s="10" t="s">
        <v>2</v>
      </c>
      <c r="C35" s="15" t="s">
        <v>117</v>
      </c>
      <c r="D35" s="12">
        <f t="shared" si="37"/>
        <v>653</v>
      </c>
      <c r="E35" s="9">
        <f t="shared" si="64"/>
        <v>0.45347222222222222</v>
      </c>
      <c r="F35" s="9">
        <v>0.87222222222222223</v>
      </c>
      <c r="G35" s="11">
        <v>9.9793000000000003</v>
      </c>
      <c r="H35" s="11">
        <v>18.960599999999999</v>
      </c>
      <c r="I35" s="11">
        <v>14.7683</v>
      </c>
      <c r="J35" s="11">
        <f t="shared" si="1"/>
        <v>4.1922999999999995</v>
      </c>
      <c r="K35" s="11">
        <f t="shared" si="2"/>
        <v>4.7889999999999997</v>
      </c>
      <c r="L35" s="19">
        <v>132678</v>
      </c>
      <c r="M35" s="20">
        <v>16237</v>
      </c>
      <c r="N35" s="16">
        <v>5160513</v>
      </c>
      <c r="O35" s="17">
        <v>128165</v>
      </c>
      <c r="P35" s="18">
        <v>2093221</v>
      </c>
      <c r="Q35" s="15">
        <f t="shared" si="3"/>
        <v>17.704617453219381</v>
      </c>
      <c r="R35" s="15">
        <f t="shared" si="4"/>
        <v>3466.7321989469642</v>
      </c>
      <c r="S35" s="15">
        <f t="shared" si="5"/>
        <v>72.388054110901422</v>
      </c>
      <c r="T35" s="15">
        <f t="shared" si="0"/>
        <v>6.1266000000000011E-4</v>
      </c>
      <c r="U35" s="15">
        <f t="shared" si="6"/>
        <v>399.59183401287964</v>
      </c>
      <c r="V35" s="15">
        <f t="shared" si="7"/>
        <v>2.1920086868830915E-2</v>
      </c>
      <c r="W35" s="15">
        <f t="shared" si="8"/>
        <v>2.1138610969188805</v>
      </c>
      <c r="X35" s="15">
        <f t="shared" si="9"/>
        <v>0.13090655705415413</v>
      </c>
      <c r="Y35" s="15">
        <f t="shared" si="10"/>
        <v>3.6994248780000008E-6</v>
      </c>
      <c r="Z35" s="15">
        <f t="shared" si="11"/>
        <v>0.26253183494646193</v>
      </c>
      <c r="AA35" s="15">
        <f t="shared" si="12"/>
        <v>1.0115179089547829E-3</v>
      </c>
      <c r="AB35" s="15">
        <f t="shared" si="13"/>
        <v>5.1307636544415071E-3</v>
      </c>
      <c r="AC35" s="15">
        <f t="shared" si="14"/>
        <v>7.8052057404808917E-2</v>
      </c>
      <c r="AD35" s="15">
        <f t="shared" si="15"/>
        <v>2.1476428704000006E-8</v>
      </c>
      <c r="AE35" s="15">
        <f t="shared" si="16"/>
        <v>9.6141795263498826E-3</v>
      </c>
      <c r="AF35" s="15">
        <f t="shared" si="17"/>
        <v>9.6739739446184293E-5</v>
      </c>
      <c r="AG35" s="15">
        <f t="shared" si="18"/>
        <v>8.8865111037541421E-3</v>
      </c>
      <c r="AH35" s="15">
        <f t="shared" si="19"/>
        <v>9.2259086204976018E-4</v>
      </c>
      <c r="AI35" s="15">
        <f t="shared" si="20"/>
        <v>1.5611949533102858E-8</v>
      </c>
      <c r="AJ35" s="15">
        <f t="shared" si="21"/>
        <v>1.1466545173977418E-3</v>
      </c>
      <c r="AK35" s="15">
        <f t="shared" si="22"/>
        <v>2.0200404979366107E-2</v>
      </c>
      <c r="AL35" s="15">
        <f t="shared" si="23"/>
        <v>1.8556089170503536</v>
      </c>
      <c r="AM35" s="15">
        <f t="shared" si="24"/>
        <v>0.19264791439752771</v>
      </c>
      <c r="AN35" s="15">
        <f t="shared" si="25"/>
        <v>3.2599602282528417E-6</v>
      </c>
      <c r="AO35" s="15">
        <f t="shared" si="26"/>
        <v>0.2394350631442351</v>
      </c>
      <c r="AP35" s="15">
        <f t="shared" si="46"/>
        <v>2.0200404979366107E-2</v>
      </c>
      <c r="AQ35" s="15">
        <f t="shared" si="29"/>
        <v>1.8556089170503536</v>
      </c>
      <c r="AR35" s="15">
        <f t="shared" si="47"/>
        <v>0.18508653294744365</v>
      </c>
      <c r="AS35" s="15">
        <f t="shared" si="31"/>
        <v>3.2599602282528417E-6</v>
      </c>
      <c r="AT35" s="15">
        <f t="shared" si="51"/>
        <v>0.23790173470814366</v>
      </c>
      <c r="AU35" s="10">
        <f>$AU$34+(($AU$37-$AU$34)/($D$37-$D$34))*(D35-$D$34)</f>
        <v>2.221457616100975E-2</v>
      </c>
      <c r="AV35" s="10">
        <f>$AV$34+(($AV$37-$AV$34)/($D$37-$D$34))*(D35-$D$34)</f>
        <v>2.4687125444695925</v>
      </c>
      <c r="AW35" s="10">
        <f>$AW$34+(($AW$37-$AW$34)/($D$37-$D$34))*(D35-$D$34)</f>
        <v>0.19273941335279471</v>
      </c>
      <c r="AX35" s="10">
        <f>$AX$34+(($AX$37-$AX$34)/($D$37-$D$34))*(D35-$D$34)</f>
        <v>3.6216775365392379E-6</v>
      </c>
      <c r="AY35" s="10">
        <f>$AY$34+(($AY$37-$AY$34)/($D$37-$D$34))*(D35-$D$34)</f>
        <v>0.26761011182268096</v>
      </c>
      <c r="AZ35" s="10">
        <f t="shared" si="48"/>
        <v>0.90933110012790408</v>
      </c>
      <c r="BA35" s="10">
        <f t="shared" si="49"/>
        <v>0.75165045894358451</v>
      </c>
      <c r="BB35" s="10">
        <f t="shared" si="34"/>
        <v>0.96029415949636077</v>
      </c>
      <c r="BC35" s="10">
        <f t="shared" si="65"/>
        <v>0.90012437478571272</v>
      </c>
      <c r="BD35" s="10">
        <f t="shared" si="36"/>
        <v>0.88898634318339165</v>
      </c>
      <c r="BF35" s="15"/>
      <c r="BG35" s="12">
        <v>234</v>
      </c>
      <c r="BH35">
        <v>0.93930383068042678</v>
      </c>
    </row>
    <row r="36" spans="2:60" x14ac:dyDescent="0.25">
      <c r="B36" s="10" t="s">
        <v>3</v>
      </c>
      <c r="C36" s="15" t="s">
        <v>117</v>
      </c>
      <c r="D36" s="12">
        <f t="shared" si="37"/>
        <v>722</v>
      </c>
      <c r="E36" s="9">
        <f t="shared" si="64"/>
        <v>0.50138888888888888</v>
      </c>
      <c r="F36" s="9">
        <v>0.92013888888888884</v>
      </c>
      <c r="G36" s="11">
        <v>9.8943999999999992</v>
      </c>
      <c r="H36" s="11">
        <v>18.701899999999998</v>
      </c>
      <c r="I36" s="11">
        <v>14.410500000000001</v>
      </c>
      <c r="J36" s="11">
        <f t="shared" si="1"/>
        <v>4.2913999999999977</v>
      </c>
      <c r="K36" s="11">
        <f t="shared" si="2"/>
        <v>4.5161000000000016</v>
      </c>
      <c r="L36" s="19">
        <v>120185</v>
      </c>
      <c r="M36" s="20">
        <v>14696</v>
      </c>
      <c r="N36" s="16">
        <v>4967698</v>
      </c>
      <c r="O36" s="17">
        <v>113271</v>
      </c>
      <c r="P36" s="18">
        <v>1916849</v>
      </c>
      <c r="Q36" s="15">
        <f t="shared" si="3"/>
        <v>16.43204204907763</v>
      </c>
      <c r="R36" s="15">
        <f t="shared" si="4"/>
        <v>3118.5072198495018</v>
      </c>
      <c r="S36" s="15">
        <f t="shared" si="5"/>
        <v>69.610260325875558</v>
      </c>
      <c r="T36" s="15">
        <f t="shared" si="0"/>
        <v>5.5308400000000002E-4</v>
      </c>
      <c r="U36" s="15">
        <f t="shared" si="6"/>
        <v>365.98820637884387</v>
      </c>
      <c r="V36" s="15">
        <f t="shared" si="7"/>
        <v>2.0344511260963014E-2</v>
      </c>
      <c r="W36" s="15">
        <f t="shared" si="8"/>
        <v>1.9015287925911597</v>
      </c>
      <c r="X36" s="15">
        <f t="shared" si="9"/>
        <v>0.12588319477331336</v>
      </c>
      <c r="Y36" s="15">
        <f t="shared" si="10"/>
        <v>3.3396871171999999E-6</v>
      </c>
      <c r="Z36" s="15">
        <f t="shared" si="11"/>
        <v>0.24045425159090048</v>
      </c>
      <c r="AA36" s="15">
        <f t="shared" si="12"/>
        <v>9.3881185838995233E-4</v>
      </c>
      <c r="AB36" s="15">
        <f t="shared" si="13"/>
        <v>4.6153906853772624E-3</v>
      </c>
      <c r="AC36" s="15">
        <f t="shared" si="14"/>
        <v>7.5056915145073691E-2</v>
      </c>
      <c r="AD36" s="15">
        <f t="shared" si="15"/>
        <v>1.9388027769600004E-8</v>
      </c>
      <c r="AE36" s="15">
        <f t="shared" si="16"/>
        <v>8.8056762454749825E-3</v>
      </c>
      <c r="AF36" s="15">
        <f t="shared" si="17"/>
        <v>9.15462038589715E-5</v>
      </c>
      <c r="AG36" s="15">
        <f t="shared" si="18"/>
        <v>8.1810642263999318E-3</v>
      </c>
      <c r="AH36" s="15">
        <f t="shared" si="19"/>
        <v>8.7917967653686419E-4</v>
      </c>
      <c r="AI36" s="15">
        <f t="shared" si="20"/>
        <v>1.4419491566962361E-8</v>
      </c>
      <c r="AJ36" s="15">
        <f t="shared" si="21"/>
        <v>1.0716526897693794E-3</v>
      </c>
      <c r="AK36" s="15">
        <f t="shared" si="22"/>
        <v>2.0271075454257315E-2</v>
      </c>
      <c r="AL36" s="15">
        <f t="shared" si="23"/>
        <v>1.811533009986477</v>
      </c>
      <c r="AM36" s="15">
        <f t="shared" si="24"/>
        <v>0.19467675129799247</v>
      </c>
      <c r="AN36" s="15">
        <f t="shared" si="25"/>
        <v>3.1929079442355916E-6</v>
      </c>
      <c r="AO36" s="15">
        <f t="shared" si="26"/>
        <v>0.23729604963782447</v>
      </c>
      <c r="AP36" s="15">
        <f t="shared" si="46"/>
        <v>2.0271075454257315E-2</v>
      </c>
      <c r="AQ36" s="15">
        <f t="shared" si="29"/>
        <v>1.811533009986477</v>
      </c>
      <c r="AR36" s="15">
        <f t="shared" si="47"/>
        <v>0.18711536984790841</v>
      </c>
      <c r="AS36" s="15">
        <f t="shared" si="31"/>
        <v>3.1929079442355916E-6</v>
      </c>
      <c r="AT36" s="15">
        <f t="shared" si="51"/>
        <v>0.23576272120173303</v>
      </c>
      <c r="AU36" s="10">
        <f>$AU$34+(($AU$37-$AU$34)/($D$37-$D$34))*(D36-$D$34)</f>
        <v>2.1610614246693582E-2</v>
      </c>
      <c r="AV36" s="10">
        <f>$AV$34+(($AV$37-$AV$34)/($D$37-$D$34))*(D36-$D$34)</f>
        <v>2.2610555259331835</v>
      </c>
      <c r="AW36" s="10">
        <f>$AW$34+(($AW$37-$AW$34)/($D$37-$D$34))*(D36-$D$34)</f>
        <v>0.19193581470364537</v>
      </c>
      <c r="AX36" s="10">
        <f>$AX$34+(($AX$37-$AX$34)/($D$37-$D$34))*(D36-$D$34)</f>
        <v>3.4324015177351376E-6</v>
      </c>
      <c r="AY36" s="10">
        <f>$AY$34+(($AY$37-$AY$34)/($D$37-$D$34))*(D36-$D$34)</f>
        <v>0.26024339729425461</v>
      </c>
      <c r="AZ36" s="10">
        <f t="shared" si="48"/>
        <v>0.93801477472389683</v>
      </c>
      <c r="BA36" s="10">
        <f t="shared" si="49"/>
        <v>0.80118908589775595</v>
      </c>
      <c r="BB36" s="10">
        <f t="shared" si="34"/>
        <v>0.97488512051187592</v>
      </c>
      <c r="BC36" s="10">
        <f t="shared" si="65"/>
        <v>0.93022565330364515</v>
      </c>
      <c r="BD36" s="10">
        <f t="shared" si="36"/>
        <v>0.90593161499178587</v>
      </c>
      <c r="BG36" s="12">
        <v>272.99999999999989</v>
      </c>
      <c r="BH36">
        <v>1.0086875400851263</v>
      </c>
    </row>
    <row r="37" spans="2:60" s="5" customFormat="1" x14ac:dyDescent="0.25">
      <c r="B37" s="4" t="s">
        <v>4</v>
      </c>
      <c r="C37" s="5" t="s">
        <v>47</v>
      </c>
      <c r="D37" s="6">
        <f t="shared" si="37"/>
        <v>723.00000000000011</v>
      </c>
      <c r="E37" s="7">
        <f t="shared" si="64"/>
        <v>0.50208333333333344</v>
      </c>
      <c r="F37" s="7">
        <v>0.92083333333333339</v>
      </c>
      <c r="G37" s="5">
        <v>9.8863000000000003</v>
      </c>
      <c r="H37" s="5">
        <v>18.906199999999998</v>
      </c>
      <c r="I37" s="5">
        <v>14.5725</v>
      </c>
      <c r="J37" s="5">
        <f t="shared" si="1"/>
        <v>4.3336999999999986</v>
      </c>
      <c r="K37" s="5">
        <f t="shared" si="2"/>
        <v>4.6861999999999995</v>
      </c>
      <c r="L37" s="13">
        <v>135284</v>
      </c>
      <c r="M37" s="13">
        <v>18570</v>
      </c>
      <c r="N37" s="13">
        <v>5169947</v>
      </c>
      <c r="O37" s="13">
        <v>127588</v>
      </c>
      <c r="P37" s="13">
        <v>2170265</v>
      </c>
      <c r="Q37" s="5">
        <f t="shared" si="3"/>
        <v>17.97007262837294</v>
      </c>
      <c r="R37" s="5">
        <f t="shared" si="4"/>
        <v>3993.9280952703775</v>
      </c>
      <c r="S37" s="5">
        <f t="shared" si="5"/>
        <v>72.523965251465867</v>
      </c>
      <c r="T37" s="5">
        <f t="shared" si="0"/>
        <v>6.1035200000000009E-4</v>
      </c>
      <c r="U37" s="5">
        <f t="shared" si="6"/>
        <v>414.27079602179629</v>
      </c>
      <c r="V37" s="5">
        <f t="shared" si="7"/>
        <v>2.2248746921188538E-2</v>
      </c>
      <c r="W37" s="5">
        <f t="shared" si="8"/>
        <v>2.4353220093112058</v>
      </c>
      <c r="X37" s="5">
        <f t="shared" si="9"/>
        <v>0.13115233876075089</v>
      </c>
      <c r="Y37" s="5">
        <f t="shared" si="10"/>
        <v>3.6854884816000002E-6</v>
      </c>
      <c r="Z37" s="5">
        <f t="shared" si="11"/>
        <v>0.27217591298632016</v>
      </c>
      <c r="AA37" s="5">
        <f t="shared" si="12"/>
        <v>1.0266841594768312E-3</v>
      </c>
      <c r="AB37" s="5">
        <f t="shared" si="13"/>
        <v>5.9110135810001583E-3</v>
      </c>
      <c r="AC37" s="5">
        <f t="shared" si="14"/>
        <v>7.819860291256682E-2</v>
      </c>
      <c r="AD37" s="5">
        <f t="shared" si="15"/>
        <v>2.1395523148800004E-8</v>
      </c>
      <c r="AE37" s="5">
        <f t="shared" si="16"/>
        <v>9.9673553522844193E-3</v>
      </c>
      <c r="AF37" s="5">
        <f t="shared" si="17"/>
        <v>1.0123064184049505E-4</v>
      </c>
      <c r="AG37" s="5">
        <f t="shared" si="18"/>
        <v>1.0581655183595251E-2</v>
      </c>
      <c r="AH37" s="5">
        <f t="shared" si="19"/>
        <v>9.3482918345633658E-4</v>
      </c>
      <c r="AI37" s="5">
        <f t="shared" si="20"/>
        <v>1.6072065133289823E-8</v>
      </c>
      <c r="AJ37" s="5">
        <f t="shared" si="21"/>
        <v>1.2262377747606905E-3</v>
      </c>
      <c r="AK37" s="5">
        <f t="shared" si="22"/>
        <v>2.1601861175471609E-2</v>
      </c>
      <c r="AL37" s="5">
        <f t="shared" si="23"/>
        <v>2.2580460039254091</v>
      </c>
      <c r="AM37" s="5">
        <f t="shared" si="24"/>
        <v>0.19948554979649538</v>
      </c>
      <c r="AN37" s="5">
        <f t="shared" si="25"/>
        <v>3.4296583870278317E-6</v>
      </c>
      <c r="AO37" s="5">
        <f t="shared" si="26"/>
        <v>0.26166996175167317</v>
      </c>
      <c r="AP37" s="5">
        <f t="shared" si="46"/>
        <v>2.1601861175471609E-2</v>
      </c>
      <c r="AQ37" s="5">
        <f t="shared" si="29"/>
        <v>2.2580460039254091</v>
      </c>
      <c r="AR37" s="5">
        <f t="shared" si="47"/>
        <v>0.19192416834641132</v>
      </c>
      <c r="AS37" s="5">
        <f t="shared" si="31"/>
        <v>3.4296583870278317E-6</v>
      </c>
      <c r="AT37" s="5">
        <f t="shared" si="51"/>
        <v>0.26013663331558173</v>
      </c>
      <c r="AU37" s="4">
        <f>AP37</f>
        <v>2.1601861175471609E-2</v>
      </c>
      <c r="AV37" s="4">
        <f t="shared" ref="AV37:AY37" si="73">AQ37</f>
        <v>2.2580460039254091</v>
      </c>
      <c r="AW37" s="4">
        <f t="shared" si="73"/>
        <v>0.19192416834641132</v>
      </c>
      <c r="AX37" s="4">
        <f t="shared" si="73"/>
        <v>3.4296583870278317E-6</v>
      </c>
      <c r="AY37" s="4">
        <f t="shared" si="73"/>
        <v>0.26013663331558173</v>
      </c>
      <c r="AZ37" s="4">
        <f t="shared" si="48"/>
        <v>1</v>
      </c>
      <c r="BA37" s="4">
        <f t="shared" si="49"/>
        <v>1</v>
      </c>
      <c r="BB37" s="4">
        <f t="shared" si="34"/>
        <v>1</v>
      </c>
      <c r="BC37" s="4">
        <f t="shared" si="65"/>
        <v>1</v>
      </c>
      <c r="BD37" s="4">
        <f t="shared" si="36"/>
        <v>1</v>
      </c>
      <c r="BE37" s="4"/>
      <c r="BG37" s="12">
        <v>317.00000000000006</v>
      </c>
      <c r="BH37">
        <v>0.96087691679785436</v>
      </c>
    </row>
    <row r="38" spans="2:60" x14ac:dyDescent="0.25">
      <c r="BF38" s="14"/>
      <c r="BG38" s="12">
        <v>368.00000000000006</v>
      </c>
      <c r="BH38">
        <v>0.95562940936388541</v>
      </c>
    </row>
    <row r="39" spans="2:60" x14ac:dyDescent="0.25">
      <c r="BF39" s="14"/>
      <c r="BG39" s="12">
        <v>419.00000000000006</v>
      </c>
      <c r="BH39">
        <v>0.96524983965949507</v>
      </c>
    </row>
    <row r="40" spans="2:60" x14ac:dyDescent="0.25">
      <c r="BF40" s="14"/>
      <c r="BG40" s="12">
        <v>466.99999999999989</v>
      </c>
      <c r="BH40">
        <v>0.95737857850854191</v>
      </c>
    </row>
    <row r="41" spans="2:60" x14ac:dyDescent="0.25">
      <c r="BF41" s="14"/>
      <c r="BG41" s="12">
        <v>525</v>
      </c>
      <c r="BH41">
        <v>0.9667074806133753</v>
      </c>
    </row>
    <row r="42" spans="2:60" x14ac:dyDescent="0.25">
      <c r="BF42" s="14"/>
      <c r="BG42" s="12">
        <v>590.99999999999989</v>
      </c>
      <c r="BH42">
        <v>0.97632791090898485</v>
      </c>
    </row>
    <row r="43" spans="2:60" x14ac:dyDescent="0.25">
      <c r="BF43" s="14"/>
      <c r="BG43" s="12">
        <v>653</v>
      </c>
      <c r="BH43">
        <v>0.96641595242259937</v>
      </c>
    </row>
    <row r="44" spans="2:60" x14ac:dyDescent="0.25">
      <c r="BF44" s="14"/>
      <c r="BG44" s="12">
        <v>722</v>
      </c>
      <c r="BH44">
        <v>0.98215847472450579</v>
      </c>
    </row>
    <row r="45" spans="2:60" x14ac:dyDescent="0.25">
      <c r="BF45" s="14"/>
      <c r="BH45"/>
    </row>
    <row r="46" spans="2:60" x14ac:dyDescent="0.25">
      <c r="BF46" s="14"/>
      <c r="BH46"/>
    </row>
    <row r="47" spans="2:60" x14ac:dyDescent="0.25">
      <c r="BF47" s="14"/>
    </row>
    <row r="48" spans="2:60" x14ac:dyDescent="0.25">
      <c r="BF48" s="14"/>
    </row>
  </sheetData>
  <autoFilter ref="BG12:BH44" xr:uid="{0AD4ED84-AD5B-42D8-B3C3-AAC4C8D3E0C0}">
    <sortState xmlns:xlrd2="http://schemas.microsoft.com/office/spreadsheetml/2017/richdata2" ref="BG13:BH44">
      <sortCondition ref="BG12:BG44"/>
    </sortState>
  </autoFilter>
  <mergeCells count="10">
    <mergeCell ref="BG4:BH4"/>
    <mergeCell ref="AF4:AI4"/>
    <mergeCell ref="AP4:AT4"/>
    <mergeCell ref="AU4:AY4"/>
    <mergeCell ref="AZ4:BD4"/>
    <mergeCell ref="L4:P4"/>
    <mergeCell ref="Q4:U4"/>
    <mergeCell ref="V4:Z4"/>
    <mergeCell ref="AA4:AE4"/>
    <mergeCell ref="AK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2019-06-26T20:29:43Z</dcterms:modified>
</cp:coreProperties>
</file>